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0248" yWindow="-12" windowWidth="10296" windowHeight="8268"/>
  </bookViews>
  <sheets>
    <sheet name="2018 (12 Pagas)" sheetId="16" r:id="rId1"/>
    <sheet name="2018 (14 Pagas)" sheetId="17" r:id="rId2"/>
    <sheet name="Ayuda" sheetId="2" r:id="rId3"/>
    <sheet name="Tramos Autonomicos" sheetId="12" state="veryHidden" r:id="rId4"/>
  </sheets>
  <calcPr calcId="145621"/>
</workbook>
</file>

<file path=xl/calcChain.xml><?xml version="1.0" encoding="utf-8"?>
<calcChain xmlns="http://schemas.openxmlformats.org/spreadsheetml/2006/main">
  <c r="P24" i="17" l="1"/>
  <c r="P20" i="17"/>
  <c r="P21" i="17"/>
  <c r="P22" i="17"/>
  <c r="P23" i="17"/>
  <c r="P19" i="17"/>
  <c r="P18" i="17"/>
  <c r="O24" i="17"/>
  <c r="O20" i="17"/>
  <c r="O21" i="17"/>
  <c r="O22" i="17"/>
  <c r="O23" i="17"/>
  <c r="O19" i="17"/>
  <c r="O18" i="17"/>
  <c r="P29" i="17"/>
  <c r="O29" i="17"/>
  <c r="O34" i="17"/>
  <c r="M34" i="17"/>
  <c r="K34" i="17"/>
  <c r="D8" i="17"/>
  <c r="D7" i="17"/>
  <c r="D10" i="17" s="1"/>
  <c r="D6" i="17"/>
  <c r="D4" i="17"/>
  <c r="D19" i="17"/>
  <c r="I12" i="17"/>
  <c r="I11" i="17"/>
  <c r="I10" i="17"/>
  <c r="I9" i="17"/>
  <c r="I8" i="17"/>
  <c r="A2" i="12"/>
  <c r="X3" i="12" s="1"/>
  <c r="Z28" i="12" s="1"/>
  <c r="Z50" i="12" s="1"/>
  <c r="P43" i="16"/>
  <c r="D36" i="16" s="1"/>
  <c r="D43" i="16"/>
  <c r="D35" i="17" s="1"/>
  <c r="D28" i="16"/>
  <c r="I21" i="16"/>
  <c r="I20" i="16"/>
  <c r="I19" i="16"/>
  <c r="I18" i="16"/>
  <c r="I17" i="16"/>
  <c r="D19" i="16"/>
  <c r="D44" i="2"/>
  <c r="D43" i="2"/>
  <c r="D40" i="2"/>
  <c r="D39" i="2"/>
  <c r="D38" i="2"/>
  <c r="D41" i="2"/>
  <c r="D32" i="2" s="1"/>
  <c r="D37" i="2"/>
  <c r="D29" i="2"/>
  <c r="D28" i="2"/>
  <c r="D21" i="2"/>
  <c r="D19" i="2"/>
  <c r="D18" i="2"/>
  <c r="D17" i="2"/>
  <c r="D13" i="2" s="1"/>
  <c r="D16" i="2"/>
  <c r="D48" i="2"/>
  <c r="D46" i="2" s="1"/>
  <c r="D47" i="2"/>
  <c r="D9" i="2"/>
  <c r="D8" i="2"/>
  <c r="D6" i="2"/>
  <c r="D21" i="16" s="1"/>
  <c r="D42" i="2"/>
  <c r="D24" i="2"/>
  <c r="D23" i="16" s="1"/>
  <c r="D50" i="2"/>
  <c r="D49" i="2"/>
  <c r="D51" i="2"/>
  <c r="AJ3" i="12"/>
  <c r="AL37" i="12" s="1"/>
  <c r="AL50" i="12" s="1"/>
  <c r="P34" i="17"/>
  <c r="D27" i="17" s="1"/>
  <c r="D12" i="17"/>
  <c r="AV3" i="12"/>
  <c r="AX31" i="12" s="1"/>
  <c r="AX50" i="12" s="1"/>
  <c r="L3" i="12"/>
  <c r="M19" i="12" s="1"/>
  <c r="M49" i="12" s="1"/>
  <c r="CF3" i="12"/>
  <c r="CG23" i="12" s="1"/>
  <c r="CG49" i="12" s="1"/>
  <c r="AW21" i="12"/>
  <c r="AW49" i="12" s="1"/>
  <c r="CL3" i="12"/>
  <c r="CM19" i="12" s="1"/>
  <c r="CM49" i="12" s="1"/>
  <c r="D13" i="17" l="1"/>
  <c r="D17" i="17" s="1"/>
  <c r="D22" i="16"/>
  <c r="D42" i="16"/>
  <c r="D29" i="16"/>
  <c r="D26" i="16"/>
  <c r="F30" i="16" s="1"/>
  <c r="G29" i="16" s="1"/>
  <c r="H29" i="16" s="1"/>
  <c r="D21" i="17"/>
  <c r="D30" i="16"/>
  <c r="D15" i="17"/>
  <c r="D24" i="16"/>
  <c r="D34" i="17"/>
  <c r="D20" i="17"/>
  <c r="D23" i="17" s="1"/>
  <c r="D24" i="17" s="1"/>
  <c r="BN3" i="12"/>
  <c r="CX3" i="12"/>
  <c r="F3" i="12"/>
  <c r="CH34" i="12"/>
  <c r="CH50" i="12" s="1"/>
  <c r="AP3" i="12"/>
  <c r="AK25" i="12"/>
  <c r="AK49" i="12" s="1"/>
  <c r="CR3" i="12"/>
  <c r="BB3" i="12"/>
  <c r="D14" i="17"/>
  <c r="CN28" i="12"/>
  <c r="CN50" i="12" s="1"/>
  <c r="Y19" i="12"/>
  <c r="Y49" i="12" s="1"/>
  <c r="BH3" i="12"/>
  <c r="AD3" i="12"/>
  <c r="BT3" i="12"/>
  <c r="R3" i="12"/>
  <c r="DJ3" i="12"/>
  <c r="N28" i="12"/>
  <c r="N50" i="12" s="1"/>
  <c r="BZ3" i="12"/>
  <c r="DD3" i="12"/>
  <c r="A15" i="12"/>
  <c r="F26" i="16"/>
  <c r="F26" i="17"/>
  <c r="F27" i="17"/>
  <c r="F30" i="17"/>
  <c r="G29" i="17" s="1"/>
  <c r="H29" i="17" s="1"/>
  <c r="F28" i="17"/>
  <c r="G27" i="17" s="1"/>
  <c r="H27" i="17" s="1"/>
  <c r="F29" i="17"/>
  <c r="G28" i="17" s="1"/>
  <c r="H28" i="17" s="1"/>
  <c r="F19" i="17" l="1"/>
  <c r="F18" i="17"/>
  <c r="G17" i="17" s="1"/>
  <c r="H17" i="17" s="1"/>
  <c r="F20" i="17"/>
  <c r="G19" i="17" s="1"/>
  <c r="H19" i="17" s="1"/>
  <c r="F17" i="17"/>
  <c r="F21" i="17"/>
  <c r="G20" i="17" s="1"/>
  <c r="H20" i="17" s="1"/>
  <c r="G25" i="16"/>
  <c r="H25" i="16" s="1"/>
  <c r="AE29" i="12"/>
  <c r="AE49" i="12" s="1"/>
  <c r="AF43" i="12"/>
  <c r="AF50" i="12" s="1"/>
  <c r="CZ37" i="12"/>
  <c r="CZ50" i="12" s="1"/>
  <c r="CY25" i="12"/>
  <c r="CY49" i="12" s="1"/>
  <c r="F27" i="16"/>
  <c r="F28" i="16"/>
  <c r="DK19" i="12"/>
  <c r="DK49" i="12" s="1"/>
  <c r="DL28" i="12"/>
  <c r="DL50" i="12" s="1"/>
  <c r="BJ28" i="12"/>
  <c r="BJ50" i="12" s="1"/>
  <c r="BI19" i="12"/>
  <c r="BI49" i="12" s="1"/>
  <c r="AR40" i="12"/>
  <c r="AR50" i="12" s="1"/>
  <c r="AQ27" i="12"/>
  <c r="AQ49" i="12" s="1"/>
  <c r="BO19" i="12"/>
  <c r="BO49" i="12" s="1"/>
  <c r="BP28" i="12"/>
  <c r="BP50" i="12" s="1"/>
  <c r="F29" i="16"/>
  <c r="G28" i="16" s="1"/>
  <c r="H28" i="16" s="1"/>
  <c r="DF28" i="12"/>
  <c r="DF50" i="12" s="1"/>
  <c r="DE19" i="12"/>
  <c r="DE49" i="12" s="1"/>
  <c r="T37" i="12"/>
  <c r="T50" i="12" s="1"/>
  <c r="S25" i="12"/>
  <c r="S49" i="12" s="1"/>
  <c r="BC23" i="12"/>
  <c r="BC49" i="12" s="1"/>
  <c r="BD34" i="12"/>
  <c r="BD50" i="12" s="1"/>
  <c r="D32" i="16"/>
  <c r="D33" i="16" s="1"/>
  <c r="CA27" i="12"/>
  <c r="CA49" i="12" s="1"/>
  <c r="CB40" i="12"/>
  <c r="CB50" i="12" s="1"/>
  <c r="BU21" i="12"/>
  <c r="BU49" i="12" s="1"/>
  <c r="BV31" i="12"/>
  <c r="BV50" i="12" s="1"/>
  <c r="CS23" i="12"/>
  <c r="CS49" i="12" s="1"/>
  <c r="CT34" i="12"/>
  <c r="CT50" i="12" s="1"/>
  <c r="G18" i="17"/>
  <c r="H18" i="17" s="1"/>
  <c r="G25" i="17"/>
  <c r="H25" i="17" s="1"/>
  <c r="G27" i="16"/>
  <c r="H27" i="16" s="1"/>
  <c r="CI18" i="12"/>
  <c r="BK17" i="12"/>
  <c r="CO23" i="12"/>
  <c r="CP22" i="12" s="1"/>
  <c r="CQ22" i="12" s="1"/>
  <c r="BE16" i="12"/>
  <c r="AM20" i="12"/>
  <c r="AG18" i="12"/>
  <c r="O19" i="12"/>
  <c r="DA15" i="12"/>
  <c r="CC19" i="12"/>
  <c r="AA20" i="12"/>
  <c r="CI19" i="12"/>
  <c r="CJ18" i="12" s="1"/>
  <c r="CK18" i="12" s="1"/>
  <c r="DG15" i="12"/>
  <c r="BW20" i="12"/>
  <c r="AM27" i="12"/>
  <c r="AN26" i="12" s="1"/>
  <c r="AO26" i="12" s="1"/>
  <c r="U16" i="12"/>
  <c r="CU24" i="12"/>
  <c r="BW25" i="12"/>
  <c r="AY22" i="12"/>
  <c r="BW26" i="12"/>
  <c r="AY17" i="12"/>
  <c r="AA24" i="12"/>
  <c r="C16" i="12"/>
  <c r="D15" i="12" s="1"/>
  <c r="E15" i="12" s="1"/>
  <c r="C17" i="12"/>
  <c r="BW19" i="12"/>
  <c r="BX18" i="12" s="1"/>
  <c r="BY18" i="12" s="1"/>
  <c r="AM22" i="12"/>
  <c r="C18" i="12"/>
  <c r="DA17" i="12"/>
  <c r="AM26" i="12"/>
  <c r="AY20" i="12"/>
  <c r="AS21" i="12"/>
  <c r="AT20" i="12" s="1"/>
  <c r="AU20" i="12" s="1"/>
  <c r="U15" i="12"/>
  <c r="V14" i="12" s="1"/>
  <c r="W14" i="12" s="1"/>
  <c r="CO19" i="12"/>
  <c r="BQ19" i="12"/>
  <c r="DA19" i="12"/>
  <c r="DB18" i="12" s="1"/>
  <c r="DC18" i="12" s="1"/>
  <c r="BW22" i="12"/>
  <c r="AM21" i="12"/>
  <c r="AN20" i="12" s="1"/>
  <c r="AO20" i="12" s="1"/>
  <c r="AA28" i="12"/>
  <c r="O18" i="12"/>
  <c r="P17" i="12" s="1"/>
  <c r="Q17" i="12" s="1"/>
  <c r="U17" i="12"/>
  <c r="BK19" i="12"/>
  <c r="BL18" i="12" s="1"/>
  <c r="BM18" i="12" s="1"/>
  <c r="AG22" i="12"/>
  <c r="CU22" i="12"/>
  <c r="BK16" i="12"/>
  <c r="BW24" i="12"/>
  <c r="BX23" i="12" s="1"/>
  <c r="BY23" i="12" s="1"/>
  <c r="AS16" i="12"/>
  <c r="AA29" i="12"/>
  <c r="AB28" i="12" s="1"/>
  <c r="AC28" i="12" s="1"/>
  <c r="DG17" i="12"/>
  <c r="CI15" i="12"/>
  <c r="BE18" i="12"/>
  <c r="CC21" i="12"/>
  <c r="AY19" i="12"/>
  <c r="AZ18" i="12" s="1"/>
  <c r="BA18" i="12" s="1"/>
  <c r="AG24" i="12"/>
  <c r="AA23" i="12"/>
  <c r="AB22" i="12" s="1"/>
  <c r="AC22" i="12" s="1"/>
  <c r="O24" i="12"/>
  <c r="CO18" i="12"/>
  <c r="CP17" i="12" s="1"/>
  <c r="CQ17" i="12" s="1"/>
  <c r="AM23" i="12"/>
  <c r="U18" i="12"/>
  <c r="BW27" i="12"/>
  <c r="BX26" i="12" s="1"/>
  <c r="BY26" i="12" s="1"/>
  <c r="AS18" i="12"/>
  <c r="BW23" i="12"/>
  <c r="BX22" i="12" s="1"/>
  <c r="BY22" i="12" s="1"/>
  <c r="BE19" i="12"/>
  <c r="BF18" i="12" s="1"/>
  <c r="BG18" i="12" s="1"/>
  <c r="I19" i="12"/>
  <c r="J18" i="12" s="1"/>
  <c r="K18" i="12" s="1"/>
  <c r="CU19" i="12"/>
  <c r="BW21" i="12"/>
  <c r="BX20" i="12" s="1"/>
  <c r="BY20" i="12" s="1"/>
  <c r="DG16" i="12"/>
  <c r="CC18" i="12"/>
  <c r="CD17" i="12" s="1"/>
  <c r="CE17" i="12" s="1"/>
  <c r="AS19" i="12"/>
  <c r="AG20" i="12"/>
  <c r="C15" i="12"/>
  <c r="U19" i="12"/>
  <c r="V18" i="12" s="1"/>
  <c r="W18" i="12" s="1"/>
  <c r="BQ20" i="12"/>
  <c r="C19" i="12"/>
  <c r="D18" i="12" s="1"/>
  <c r="E18" i="12" s="1"/>
  <c r="O22" i="12"/>
  <c r="BQ17" i="12"/>
  <c r="CO21" i="12"/>
  <c r="AY21" i="12"/>
  <c r="AG23" i="12"/>
  <c r="I17" i="12"/>
  <c r="CO17" i="12"/>
  <c r="CP16" i="12" s="1"/>
  <c r="CQ16" i="12" s="1"/>
  <c r="BQ16" i="12"/>
  <c r="CU21" i="12"/>
  <c r="BK15" i="12"/>
  <c r="BL14" i="12" s="1"/>
  <c r="BM14" i="12" s="1"/>
  <c r="AM25" i="12"/>
  <c r="AN24" i="12" s="1"/>
  <c r="AO24" i="12" s="1"/>
  <c r="AG21" i="12"/>
  <c r="AH20" i="12" s="1"/>
  <c r="AI20" i="12" s="1"/>
  <c r="O23" i="12"/>
  <c r="CU18" i="12"/>
  <c r="CV17" i="12" s="1"/>
  <c r="CW17" i="12" s="1"/>
  <c r="DG19" i="12"/>
  <c r="DH18" i="12" s="1"/>
  <c r="DI18" i="12" s="1"/>
  <c r="AG19" i="12"/>
  <c r="AH18" i="12" s="1"/>
  <c r="AI18" i="12" s="1"/>
  <c r="CO20" i="12"/>
  <c r="BK18" i="12"/>
  <c r="BL17" i="12" s="1"/>
  <c r="BM17" i="12" s="1"/>
  <c r="I15" i="12"/>
  <c r="CC23" i="12"/>
  <c r="CD22" i="12" s="1"/>
  <c r="CE22" i="12" s="1"/>
  <c r="AA21" i="12"/>
  <c r="DA16" i="12"/>
  <c r="DB15" i="12" s="1"/>
  <c r="DC15" i="12" s="1"/>
  <c r="CC20" i="12"/>
  <c r="AY18" i="12"/>
  <c r="AZ17" i="12" s="1"/>
  <c r="BA17" i="12" s="1"/>
  <c r="CI17" i="12"/>
  <c r="CJ16" i="12" s="1"/>
  <c r="CK16" i="12" s="1"/>
  <c r="AY23" i="12"/>
  <c r="AZ22" i="12" s="1"/>
  <c r="BA22" i="12" s="1"/>
  <c r="AM24" i="12"/>
  <c r="AN23" i="12" s="1"/>
  <c r="AO23" i="12" s="1"/>
  <c r="AA27" i="12"/>
  <c r="AB26" i="12" s="1"/>
  <c r="AC26" i="12" s="1"/>
  <c r="O20" i="12"/>
  <c r="CC22" i="12"/>
  <c r="CD21" i="12" s="1"/>
  <c r="CE21" i="12" s="1"/>
  <c r="AS17" i="12"/>
  <c r="AT16" i="12" s="1"/>
  <c r="AU16" i="12" s="1"/>
  <c r="O25" i="12"/>
  <c r="P24" i="12" s="1"/>
  <c r="Q24" i="12" s="1"/>
  <c r="CI16" i="12"/>
  <c r="CJ15" i="12" s="1"/>
  <c r="CK15" i="12" s="1"/>
  <c r="CU20" i="12"/>
  <c r="CV19" i="12" s="1"/>
  <c r="CW19" i="12" s="1"/>
  <c r="BE15" i="12"/>
  <c r="BF14" i="12" s="1"/>
  <c r="BG14" i="12" s="1"/>
  <c r="AM19" i="12"/>
  <c r="AN18" i="12" s="1"/>
  <c r="AO18" i="12" s="1"/>
  <c r="O21" i="12"/>
  <c r="P20" i="12" s="1"/>
  <c r="Q20" i="12" s="1"/>
  <c r="CO22" i="12"/>
  <c r="CP21" i="12" s="1"/>
  <c r="CQ21" i="12" s="1"/>
  <c r="BQ21" i="12"/>
  <c r="BR20" i="12" s="1"/>
  <c r="BS20" i="12" s="1"/>
  <c r="CU25" i="12"/>
  <c r="CV24" i="12" s="1"/>
  <c r="CW24" i="12" s="1"/>
  <c r="BQ18" i="12"/>
  <c r="BR17" i="12" s="1"/>
  <c r="BS17" i="12" s="1"/>
  <c r="AS20" i="12"/>
  <c r="AT19" i="12" s="1"/>
  <c r="AU19" i="12" s="1"/>
  <c r="AG25" i="12"/>
  <c r="AH24" i="12" s="1"/>
  <c r="AI24" i="12" s="1"/>
  <c r="I16" i="12"/>
  <c r="DG18" i="12"/>
  <c r="DH17" i="12" s="1"/>
  <c r="DI17" i="12" s="1"/>
  <c r="BE17" i="12"/>
  <c r="BF16" i="12" s="1"/>
  <c r="BG16" i="12" s="1"/>
  <c r="AA26" i="12"/>
  <c r="DA18" i="12"/>
  <c r="CC17" i="12"/>
  <c r="AA25" i="12"/>
  <c r="AB24" i="12" s="1"/>
  <c r="AC24" i="12" s="1"/>
  <c r="CU23" i="12"/>
  <c r="CV22" i="12" s="1"/>
  <c r="CW22" i="12" s="1"/>
  <c r="AA22" i="12"/>
  <c r="AB21" i="12" s="1"/>
  <c r="AC21" i="12" s="1"/>
  <c r="I18" i="12"/>
  <c r="G26" i="17"/>
  <c r="H26" i="17" s="1"/>
  <c r="H30" i="16" l="1"/>
  <c r="DB17" i="12"/>
  <c r="DC17" i="12" s="1"/>
  <c r="BR15" i="12"/>
  <c r="BS15" i="12" s="1"/>
  <c r="AZ20" i="12"/>
  <c r="BA20" i="12" s="1"/>
  <c r="AN25" i="12"/>
  <c r="AO25" i="12" s="1"/>
  <c r="A24" i="12"/>
  <c r="F36" i="16"/>
  <c r="F38" i="16"/>
  <c r="G37" i="16" s="1"/>
  <c r="H37" i="16" s="1"/>
  <c r="F35" i="16"/>
  <c r="G34" i="16" s="1"/>
  <c r="H34" i="16" s="1"/>
  <c r="F37" i="16"/>
  <c r="G36" i="16" s="1"/>
  <c r="H36" i="16" s="1"/>
  <c r="F39" i="16"/>
  <c r="G38" i="16" s="1"/>
  <c r="H38" i="16" s="1"/>
  <c r="G16" i="17"/>
  <c r="H16" i="17" s="1"/>
  <c r="H21" i="17" s="1"/>
  <c r="J15" i="12"/>
  <c r="K15" i="12" s="1"/>
  <c r="CD19" i="12"/>
  <c r="CE19" i="12" s="1"/>
  <c r="BL15" i="12"/>
  <c r="BM15" i="12" s="1"/>
  <c r="G26" i="16"/>
  <c r="H26" i="16" s="1"/>
  <c r="J17" i="12"/>
  <c r="K17" i="12" s="1"/>
  <c r="CD16" i="12"/>
  <c r="CE16" i="12" s="1"/>
  <c r="CP19" i="12"/>
  <c r="CQ19" i="12" s="1"/>
  <c r="P22" i="12"/>
  <c r="Q22" i="12" s="1"/>
  <c r="CV20" i="12"/>
  <c r="CW20" i="12" s="1"/>
  <c r="AH22" i="12"/>
  <c r="AI22" i="12" s="1"/>
  <c r="D14" i="12"/>
  <c r="E14" i="12" s="1"/>
  <c r="DH15" i="12"/>
  <c r="DI15" i="12" s="1"/>
  <c r="AB25" i="12"/>
  <c r="AC25" i="12" s="1"/>
  <c r="P19" i="12"/>
  <c r="Q19" i="12" s="1"/>
  <c r="AB20" i="12"/>
  <c r="AC20" i="12" s="1"/>
  <c r="J14" i="12"/>
  <c r="K14" i="12" s="1"/>
  <c r="CP20" i="12"/>
  <c r="CQ20" i="12" s="1"/>
  <c r="P21" i="12"/>
  <c r="Q21" i="12" s="1"/>
  <c r="BR19" i="12"/>
  <c r="BS19" i="12" s="1"/>
  <c r="AT18" i="12"/>
  <c r="AU18" i="12" s="1"/>
  <c r="CV18" i="12"/>
  <c r="CW18" i="12" s="1"/>
  <c r="AT17" i="12"/>
  <c r="AU17" i="12" s="1"/>
  <c r="V17" i="12"/>
  <c r="W17" i="12" s="1"/>
  <c r="BF17" i="12"/>
  <c r="BG17" i="12" s="1"/>
  <c r="DH16" i="12"/>
  <c r="DI16" i="12" s="1"/>
  <c r="AT15" i="12"/>
  <c r="AU15" i="12" s="1"/>
  <c r="AH21" i="12"/>
  <c r="AI21" i="12" s="1"/>
  <c r="V16" i="12"/>
  <c r="W16" i="12" s="1"/>
  <c r="AB27" i="12"/>
  <c r="AC27" i="12" s="1"/>
  <c r="BX21" i="12"/>
  <c r="BY21" i="12" s="1"/>
  <c r="BR18" i="12"/>
  <c r="BS18" i="12" s="1"/>
  <c r="AZ19" i="12"/>
  <c r="BA19" i="12" s="1"/>
  <c r="DB16" i="12"/>
  <c r="DC16" i="12" s="1"/>
  <c r="AN21" i="12"/>
  <c r="AO21" i="12" s="1"/>
  <c r="D16" i="12"/>
  <c r="E16" i="12" s="1"/>
  <c r="AB23" i="12"/>
  <c r="AC23" i="12" s="1"/>
  <c r="BX25" i="12"/>
  <c r="BY25" i="12" s="1"/>
  <c r="BY27" i="12" s="1"/>
  <c r="BX24" i="12"/>
  <c r="BY24" i="12" s="1"/>
  <c r="V15" i="12"/>
  <c r="W15" i="12" s="1"/>
  <c r="BX19" i="12"/>
  <c r="BY19" i="12" s="1"/>
  <c r="CD18" i="12"/>
  <c r="CE18" i="12" s="1"/>
  <c r="P18" i="12"/>
  <c r="Q18" i="12" s="1"/>
  <c r="AN19" i="12"/>
  <c r="AO19" i="12" s="1"/>
  <c r="CJ17" i="12"/>
  <c r="CK17" i="12" s="1"/>
  <c r="H30" i="17"/>
  <c r="J16" i="12"/>
  <c r="K16" i="12" s="1"/>
  <c r="BR16" i="12"/>
  <c r="BS16" i="12" s="1"/>
  <c r="BS21" i="12" s="1"/>
  <c r="AH19" i="12"/>
  <c r="AI19" i="12" s="1"/>
  <c r="AN22" i="12"/>
  <c r="AO22" i="12" s="1"/>
  <c r="P23" i="12"/>
  <c r="Q23" i="12" s="1"/>
  <c r="AH23" i="12"/>
  <c r="AI23" i="12" s="1"/>
  <c r="CD20" i="12"/>
  <c r="CE20" i="12" s="1"/>
  <c r="CJ14" i="12"/>
  <c r="CK14" i="12" s="1"/>
  <c r="CV21" i="12"/>
  <c r="CW21" i="12" s="1"/>
  <c r="Q25" i="12"/>
  <c r="CP18" i="12"/>
  <c r="CQ18" i="12" s="1"/>
  <c r="CQ23" i="12" s="1"/>
  <c r="D17" i="12"/>
  <c r="E17" i="12" s="1"/>
  <c r="AZ16" i="12"/>
  <c r="BA16" i="12" s="1"/>
  <c r="AZ21" i="12"/>
  <c r="BA21" i="12" s="1"/>
  <c r="CV23" i="12"/>
  <c r="CW23" i="12" s="1"/>
  <c r="DH14" i="12"/>
  <c r="DI14" i="12" s="1"/>
  <c r="AB19" i="12"/>
  <c r="AC19" i="12" s="1"/>
  <c r="DB14" i="12"/>
  <c r="DC14" i="12" s="1"/>
  <c r="DC19" i="12" s="1"/>
  <c r="AH17" i="12"/>
  <c r="AI17" i="12" s="1"/>
  <c r="BF15" i="12"/>
  <c r="BG15" i="12" s="1"/>
  <c r="BG19" i="12" s="1"/>
  <c r="BL16" i="12"/>
  <c r="BM16" i="12" s="1"/>
  <c r="BM19" i="12" s="1"/>
  <c r="AC29" i="12" l="1"/>
  <c r="BA23" i="12"/>
  <c r="DI19" i="12"/>
  <c r="AO27" i="12"/>
  <c r="W19" i="12"/>
  <c r="E19" i="12"/>
  <c r="G19" i="12" s="1"/>
  <c r="G49" i="12" s="1"/>
  <c r="A49" i="12" s="1"/>
  <c r="G35" i="16"/>
  <c r="H35" i="16" s="1"/>
  <c r="H39" i="16" s="1"/>
  <c r="CE23" i="12"/>
  <c r="AI25" i="12"/>
  <c r="CW25" i="12"/>
  <c r="CK19" i="12"/>
  <c r="AU21" i="12"/>
  <c r="BE24" i="12"/>
  <c r="BF23" i="12" s="1"/>
  <c r="BG23" i="12" s="1"/>
  <c r="AS27" i="12"/>
  <c r="AT26" i="12" s="1"/>
  <c r="AU26" i="12" s="1"/>
  <c r="AY28" i="12"/>
  <c r="AM36" i="12"/>
  <c r="AM38" i="12"/>
  <c r="AN37" i="12" s="1"/>
  <c r="AO37" i="12" s="1"/>
  <c r="AM39" i="12"/>
  <c r="AN38" i="12" s="1"/>
  <c r="AO38" i="12" s="1"/>
  <c r="C26" i="12"/>
  <c r="AG32" i="12"/>
  <c r="O37" i="12"/>
  <c r="P36" i="12" s="1"/>
  <c r="Q36" i="12" s="1"/>
  <c r="AY30" i="12"/>
  <c r="U24" i="12"/>
  <c r="O30" i="12"/>
  <c r="CU36" i="12"/>
  <c r="CV35" i="12" s="1"/>
  <c r="CW35" i="12" s="1"/>
  <c r="CU37" i="12"/>
  <c r="CV36" i="12" s="1"/>
  <c r="CW36" i="12" s="1"/>
  <c r="AA37" i="12"/>
  <c r="C25" i="12"/>
  <c r="O31" i="12"/>
  <c r="P30" i="12" s="1"/>
  <c r="Q30" i="12" s="1"/>
  <c r="I28" i="12"/>
  <c r="J27" i="12" s="1"/>
  <c r="K27" i="12" s="1"/>
  <c r="O36" i="12"/>
  <c r="O34" i="12"/>
  <c r="DA25" i="12"/>
  <c r="DB24" i="12" s="1"/>
  <c r="DC24" i="12" s="1"/>
  <c r="DA26" i="12"/>
  <c r="DB25" i="12" s="1"/>
  <c r="DC25" i="12" s="1"/>
  <c r="CO34" i="12"/>
  <c r="CP33" i="12" s="1"/>
  <c r="CQ33" i="12" s="1"/>
  <c r="AS28" i="12"/>
  <c r="AA39" i="12"/>
  <c r="AB38" i="12" s="1"/>
  <c r="AC38" i="12" s="1"/>
  <c r="CU35" i="12"/>
  <c r="CI28" i="12"/>
  <c r="CJ27" i="12" s="1"/>
  <c r="CK27" i="12" s="1"/>
  <c r="CO28" i="12"/>
  <c r="CC28" i="12"/>
  <c r="CD27" i="12" s="1"/>
  <c r="CE27" i="12" s="1"/>
  <c r="CC29" i="12"/>
  <c r="CD28" i="12" s="1"/>
  <c r="CE28" i="12" s="1"/>
  <c r="CU32" i="12"/>
  <c r="AG30" i="12"/>
  <c r="I26" i="12"/>
  <c r="U28" i="12"/>
  <c r="V27" i="12" s="1"/>
  <c r="W27" i="12" s="1"/>
  <c r="U26" i="12"/>
  <c r="O35" i="12"/>
  <c r="O33" i="12"/>
  <c r="P32" i="12" s="1"/>
  <c r="Q32" i="12" s="1"/>
  <c r="BQ28" i="12"/>
  <c r="BR27" i="12" s="1"/>
  <c r="BS27" i="12" s="1"/>
  <c r="BQ29" i="12"/>
  <c r="AY29" i="12"/>
  <c r="DA28" i="12"/>
  <c r="DB27" i="12" s="1"/>
  <c r="DC27" i="12" s="1"/>
  <c r="DG24" i="12"/>
  <c r="CC30" i="12"/>
  <c r="BQ31" i="12"/>
  <c r="BR30" i="12" s="1"/>
  <c r="BS30" i="12" s="1"/>
  <c r="BK26" i="12"/>
  <c r="DG28" i="12"/>
  <c r="DH27" i="12" s="1"/>
  <c r="DI27" i="12" s="1"/>
  <c r="CO32" i="12"/>
  <c r="AS29" i="12"/>
  <c r="AM33" i="12"/>
  <c r="AA42" i="12"/>
  <c r="DG26" i="12"/>
  <c r="CU31" i="12"/>
  <c r="CU34" i="12"/>
  <c r="CV33" i="12" s="1"/>
  <c r="CW33" i="12" s="1"/>
  <c r="CI24" i="12"/>
  <c r="CJ23" i="12" s="1"/>
  <c r="CK23" i="12" s="1"/>
  <c r="CI26" i="12"/>
  <c r="BW35" i="12"/>
  <c r="BW36" i="12"/>
  <c r="BQ26" i="12"/>
  <c r="O32" i="12"/>
  <c r="AA34" i="12"/>
  <c r="BW37" i="12"/>
  <c r="BE27" i="12"/>
  <c r="BF26" i="12" s="1"/>
  <c r="BG26" i="12" s="1"/>
  <c r="BE28" i="12"/>
  <c r="BF27" i="12" s="1"/>
  <c r="BG27" i="12" s="1"/>
  <c r="AS30" i="12"/>
  <c r="AG37" i="12"/>
  <c r="AH36" i="12" s="1"/>
  <c r="AI36" i="12" s="1"/>
  <c r="AM34" i="12"/>
  <c r="CI27" i="12"/>
  <c r="CJ26" i="12" s="1"/>
  <c r="CK26" i="12" s="1"/>
  <c r="BW39" i="12"/>
  <c r="BW40" i="12"/>
  <c r="BX39" i="12" s="1"/>
  <c r="BY39" i="12" s="1"/>
  <c r="BK24" i="12"/>
  <c r="BL23" i="12" s="1"/>
  <c r="BM23" i="12" s="1"/>
  <c r="BK25" i="12"/>
  <c r="AY34" i="12"/>
  <c r="AZ33" i="12" s="1"/>
  <c r="BA33" i="12" s="1"/>
  <c r="AY32" i="12"/>
  <c r="AZ31" i="12" s="1"/>
  <c r="BA31" i="12" s="1"/>
  <c r="AS31" i="12"/>
  <c r="AT30" i="12" s="1"/>
  <c r="AU30" i="12" s="1"/>
  <c r="AS26" i="12"/>
  <c r="CI25" i="12"/>
  <c r="U27" i="12"/>
  <c r="V26" i="12" s="1"/>
  <c r="W26" i="12" s="1"/>
  <c r="C28" i="12"/>
  <c r="D27" i="12" s="1"/>
  <c r="E27" i="12" s="1"/>
  <c r="C24" i="12"/>
  <c r="D23" i="12" s="1"/>
  <c r="E23" i="12" s="1"/>
  <c r="U25" i="12"/>
  <c r="V24" i="12" s="1"/>
  <c r="W24" i="12" s="1"/>
  <c r="BK27" i="12"/>
  <c r="AG31" i="12"/>
  <c r="AH30" i="12" s="1"/>
  <c r="AI30" i="12" s="1"/>
  <c r="C27" i="12"/>
  <c r="BE25" i="12"/>
  <c r="CO33" i="12"/>
  <c r="CP32" i="12" s="1"/>
  <c r="CQ32" i="12" s="1"/>
  <c r="BQ30" i="12"/>
  <c r="BR29" i="12" s="1"/>
  <c r="BS29" i="12" s="1"/>
  <c r="BE26" i="12"/>
  <c r="DG27" i="12"/>
  <c r="CU33" i="12"/>
  <c r="CV32" i="12" s="1"/>
  <c r="CW32" i="12" s="1"/>
  <c r="BW38" i="12"/>
  <c r="BX37" i="12" s="1"/>
  <c r="BY37" i="12" s="1"/>
  <c r="AM40" i="12"/>
  <c r="AN39" i="12" s="1"/>
  <c r="AO39" i="12" s="1"/>
  <c r="AM32" i="12"/>
  <c r="DG25" i="12"/>
  <c r="DH24" i="12" s="1"/>
  <c r="DI24" i="12" s="1"/>
  <c r="AY31" i="12"/>
  <c r="AZ30" i="12" s="1"/>
  <c r="BA30" i="12" s="1"/>
  <c r="DA24" i="12"/>
  <c r="DA27" i="12"/>
  <c r="CO29" i="12"/>
  <c r="CO30" i="12"/>
  <c r="CP29" i="12" s="1"/>
  <c r="CQ29" i="12" s="1"/>
  <c r="CC31" i="12"/>
  <c r="CD30" i="12" s="1"/>
  <c r="CE30" i="12" s="1"/>
  <c r="CC34" i="12"/>
  <c r="CD33" i="12" s="1"/>
  <c r="CE33" i="12" s="1"/>
  <c r="BW33" i="12"/>
  <c r="BX32" i="12" s="1"/>
  <c r="BY32" i="12" s="1"/>
  <c r="BQ27" i="12"/>
  <c r="BR26" i="12" s="1"/>
  <c r="BS26" i="12" s="1"/>
  <c r="AY33" i="12"/>
  <c r="AZ32" i="12" s="1"/>
  <c r="BA32" i="12" s="1"/>
  <c r="AA35" i="12"/>
  <c r="AG35" i="12"/>
  <c r="AH34" i="12" s="1"/>
  <c r="AI34" i="12" s="1"/>
  <c r="AG33" i="12"/>
  <c r="AH32" i="12" s="1"/>
  <c r="AI32" i="12" s="1"/>
  <c r="AA40" i="12"/>
  <c r="CO31" i="12"/>
  <c r="CP30" i="12" s="1"/>
  <c r="CQ30" i="12" s="1"/>
  <c r="AM35" i="12"/>
  <c r="AN34" i="12" s="1"/>
  <c r="AO34" i="12" s="1"/>
  <c r="AM37" i="12"/>
  <c r="AN36" i="12" s="1"/>
  <c r="AO36" i="12" s="1"/>
  <c r="AG36" i="12"/>
  <c r="AG34" i="12"/>
  <c r="AA41" i="12"/>
  <c r="AB40" i="12" s="1"/>
  <c r="AC40" i="12" s="1"/>
  <c r="AA43" i="12"/>
  <c r="AB42" i="12" s="1"/>
  <c r="AC42" i="12" s="1"/>
  <c r="AA36" i="12"/>
  <c r="AB35" i="12" s="1"/>
  <c r="AC35" i="12" s="1"/>
  <c r="AA38" i="12"/>
  <c r="I25" i="12"/>
  <c r="J24" i="12" s="1"/>
  <c r="K24" i="12" s="1"/>
  <c r="BK28" i="12"/>
  <c r="BL27" i="12" s="1"/>
  <c r="BM27" i="12" s="1"/>
  <c r="CU30" i="12"/>
  <c r="CV29" i="12" s="1"/>
  <c r="CW29" i="12" s="1"/>
  <c r="CC32" i="12"/>
  <c r="CC33" i="12"/>
  <c r="CD32" i="12" s="1"/>
  <c r="CE32" i="12" s="1"/>
  <c r="BW32" i="12"/>
  <c r="BX31" i="12" s="1"/>
  <c r="BY31" i="12" s="1"/>
  <c r="BW34" i="12"/>
  <c r="BX33" i="12" s="1"/>
  <c r="BY33" i="12" s="1"/>
  <c r="I24" i="12"/>
  <c r="I27" i="12"/>
  <c r="J26" i="12" s="1"/>
  <c r="K26" i="12" s="1"/>
  <c r="I30" i="16"/>
  <c r="I21" i="17"/>
  <c r="K19" i="12"/>
  <c r="BM28" i="12" l="1"/>
  <c r="CP28" i="12"/>
  <c r="CQ28" i="12" s="1"/>
  <c r="BL25" i="12"/>
  <c r="BM25" i="12" s="1"/>
  <c r="AH35" i="12"/>
  <c r="AI35" i="12" s="1"/>
  <c r="AB39" i="12"/>
  <c r="AC39" i="12" s="1"/>
  <c r="DB23" i="12"/>
  <c r="DC23" i="12" s="1"/>
  <c r="BF25" i="12"/>
  <c r="BG25" i="12" s="1"/>
  <c r="D26" i="12"/>
  <c r="E26" i="12" s="1"/>
  <c r="AT25" i="12"/>
  <c r="AU25" i="12" s="1"/>
  <c r="BL24" i="12"/>
  <c r="BM24" i="12" s="1"/>
  <c r="P31" i="12"/>
  <c r="Q31" i="12" s="1"/>
  <c r="CJ25" i="12"/>
  <c r="CK25" i="12" s="1"/>
  <c r="DH25" i="12"/>
  <c r="DI25" i="12" s="1"/>
  <c r="CP31" i="12"/>
  <c r="CQ31" i="12" s="1"/>
  <c r="CD29" i="12"/>
  <c r="CE29" i="12" s="1"/>
  <c r="BR28" i="12"/>
  <c r="BS28" i="12" s="1"/>
  <c r="V25" i="12"/>
  <c r="W25" i="12" s="1"/>
  <c r="CV31" i="12"/>
  <c r="CW31" i="12" s="1"/>
  <c r="P35" i="12"/>
  <c r="Q35" i="12" s="1"/>
  <c r="AB36" i="12"/>
  <c r="AC36" i="12" s="1"/>
  <c r="V23" i="12"/>
  <c r="W23" i="12" s="1"/>
  <c r="W28" i="12" s="1"/>
  <c r="D25" i="12"/>
  <c r="E25" i="12" s="1"/>
  <c r="AZ27" i="12"/>
  <c r="BA27" i="12" s="1"/>
  <c r="BA34" i="12" s="1"/>
  <c r="AN33" i="12"/>
  <c r="AO33" i="12" s="1"/>
  <c r="BR25" i="12"/>
  <c r="BS25" i="12" s="1"/>
  <c r="BS31" i="12" s="1"/>
  <c r="AB41" i="12"/>
  <c r="AC41" i="12" s="1"/>
  <c r="DH23" i="12"/>
  <c r="DI23" i="12" s="1"/>
  <c r="CV34" i="12"/>
  <c r="CW34" i="12" s="1"/>
  <c r="AZ29" i="12"/>
  <c r="BA29" i="12" s="1"/>
  <c r="AU31" i="12"/>
  <c r="BL26" i="12"/>
  <c r="BM26" i="12" s="1"/>
  <c r="BX36" i="12"/>
  <c r="BY36" i="12" s="1"/>
  <c r="BX35" i="12"/>
  <c r="BY35" i="12" s="1"/>
  <c r="AN32" i="12"/>
  <c r="AO32" i="12" s="1"/>
  <c r="J25" i="12"/>
  <c r="K25" i="12" s="1"/>
  <c r="K28" i="12" s="1"/>
  <c r="J23" i="12"/>
  <c r="K23" i="12" s="1"/>
  <c r="CD31" i="12"/>
  <c r="CE31" i="12" s="1"/>
  <c r="AB37" i="12"/>
  <c r="AC37" i="12" s="1"/>
  <c r="AH33" i="12"/>
  <c r="AI33" i="12" s="1"/>
  <c r="AB34" i="12"/>
  <c r="AC34" i="12" s="1"/>
  <c r="DB26" i="12"/>
  <c r="DC26" i="12" s="1"/>
  <c r="AN31" i="12"/>
  <c r="AO31" i="12" s="1"/>
  <c r="DH26" i="12"/>
  <c r="DI26" i="12" s="1"/>
  <c r="BF24" i="12"/>
  <c r="BG24" i="12" s="1"/>
  <c r="BG28" i="12" s="1"/>
  <c r="CJ24" i="12"/>
  <c r="CK24" i="12" s="1"/>
  <c r="CK28" i="12" s="1"/>
  <c r="BX38" i="12"/>
  <c r="BY38" i="12" s="1"/>
  <c r="AT29" i="12"/>
  <c r="AU29" i="12" s="1"/>
  <c r="AB33" i="12"/>
  <c r="AC33" i="12" s="1"/>
  <c r="BX34" i="12"/>
  <c r="BY34" i="12" s="1"/>
  <c r="BY40" i="12" s="1"/>
  <c r="CV30" i="12"/>
  <c r="CW30" i="12" s="1"/>
  <c r="CW37" i="12" s="1"/>
  <c r="AT28" i="12"/>
  <c r="AU28" i="12" s="1"/>
  <c r="AZ28" i="12"/>
  <c r="BA28" i="12" s="1"/>
  <c r="P34" i="12"/>
  <c r="Q34" i="12" s="1"/>
  <c r="AH29" i="12"/>
  <c r="AI29" i="12" s="1"/>
  <c r="AI37" i="12" s="1"/>
  <c r="CP27" i="12"/>
  <c r="CQ27" i="12" s="1"/>
  <c r="AT27" i="12"/>
  <c r="AU27" i="12" s="1"/>
  <c r="P33" i="12"/>
  <c r="Q33" i="12" s="1"/>
  <c r="D24" i="12"/>
  <c r="E24" i="12" s="1"/>
  <c r="P29" i="12"/>
  <c r="Q29" i="12" s="1"/>
  <c r="AH31" i="12"/>
  <c r="AI31" i="12" s="1"/>
  <c r="AN35" i="12"/>
  <c r="AO35" i="12" s="1"/>
  <c r="CQ34" i="12" l="1"/>
  <c r="Q37" i="12"/>
  <c r="AO40" i="12"/>
  <c r="DI28" i="12"/>
  <c r="E28" i="12"/>
  <c r="H28" i="12" s="1"/>
  <c r="H50" i="12" s="1"/>
  <c r="A50" i="12" s="1"/>
  <c r="CE34" i="12"/>
  <c r="AC43" i="12"/>
  <c r="DC28" i="12"/>
  <c r="I30" i="17" l="1"/>
  <c r="H34" i="17" s="1"/>
  <c r="I39" i="16"/>
  <c r="H43" i="16" s="1"/>
  <c r="I43" i="16" l="1"/>
  <c r="D35" i="16" s="1"/>
  <c r="D38" i="16" s="1"/>
  <c r="F42" i="16"/>
  <c r="F43" i="16" s="1"/>
  <c r="I34" i="17"/>
  <c r="D26" i="17" s="1"/>
  <c r="D29" i="17" s="1"/>
  <c r="F33" i="17"/>
  <c r="F34" i="17" s="1"/>
  <c r="D33" i="17" l="1"/>
  <c r="D31" i="17"/>
  <c r="D36" i="17" s="1"/>
  <c r="D32" i="17"/>
  <c r="D41" i="16"/>
  <c r="D40" i="16"/>
  <c r="D45" i="16" l="1"/>
</calcChain>
</file>

<file path=xl/sharedStrings.xml><?xml version="1.0" encoding="utf-8"?>
<sst xmlns="http://schemas.openxmlformats.org/spreadsheetml/2006/main" count="413" uniqueCount="126">
  <si>
    <t>TOTAL</t>
  </si>
  <si>
    <t>SEGURIDAD SOCIAL</t>
  </si>
  <si>
    <t>TOTAL DEDUCCIONES</t>
  </si>
  <si>
    <t>BASE IRPF</t>
  </si>
  <si>
    <t>de</t>
  </si>
  <si>
    <t>a</t>
  </si>
  <si>
    <t>TIPO IRPF</t>
  </si>
  <si>
    <t>TIPO TOTAL</t>
  </si>
  <si>
    <t>TOTAL ANUAL NETO</t>
  </si>
  <si>
    <t>TOTAL BRUTO</t>
  </si>
  <si>
    <t>MINIMO PERSONAL</t>
  </si>
  <si>
    <t>DESCENDIENTES</t>
  </si>
  <si>
    <t>ASCENDIENTES</t>
  </si>
  <si>
    <t>RETENCION 1</t>
  </si>
  <si>
    <t>RETENCION 2</t>
  </si>
  <si>
    <t>TABLA TRAMOS IRPF</t>
  </si>
  <si>
    <t>SALARIO BRUTO</t>
  </si>
  <si>
    <t>RETENCIÓN IRPF</t>
  </si>
  <si>
    <t>MENSUALIDAD NETA</t>
  </si>
  <si>
    <t>RTOS TRABAJO</t>
  </si>
  <si>
    <t>OTROS</t>
  </si>
  <si>
    <t>No</t>
  </si>
  <si>
    <t>3 o más hijos</t>
  </si>
  <si>
    <t>MÍNIMO PERSONAL</t>
  </si>
  <si>
    <t>Edad</t>
  </si>
  <si>
    <t>años</t>
  </si>
  <si>
    <t>hijos</t>
  </si>
  <si>
    <t>ascendientes</t>
  </si>
  <si>
    <t>Hijos solteros &lt;25 años e ingresos anuales &lt;8000 euros que convivan con el contribuyente</t>
  </si>
  <si>
    <t xml:space="preserve">De los anteriores indicar el número de hijos &lt;3 años </t>
  </si>
  <si>
    <t>Ascendientes &gt;65 años pero &lt;75 años con ingresos anuales &lt;8000 euros que convivan con el contribuyente (al menos 6 meses)</t>
  </si>
  <si>
    <t>Ascendientes &gt;75 años con ingresos anuales &lt;8000 euros que convivan con el contribuyente (al menos 6 meses)</t>
  </si>
  <si>
    <t>Ascendientes &lt;65 años con ingresos anuales &lt;8000 euros y minusvalía que convivan con el contribuyente (al menos 6 meses)</t>
  </si>
  <si>
    <t>ASCENDIENTES (2)</t>
  </si>
  <si>
    <t xml:space="preserve">Número de descendientes con grado de minusvalía &gt;=33% y &lt;65% </t>
  </si>
  <si>
    <t>Número de descendientes con grado de minusvalía &gt;=65%</t>
  </si>
  <si>
    <t xml:space="preserve">Número de ascendientes con grado de minusvalía &gt;=33% y &lt;65% </t>
  </si>
  <si>
    <t>Número de ascendientes con grado de minusvalía &gt;=65%</t>
  </si>
  <si>
    <t>descendientes</t>
  </si>
  <si>
    <t>MINUSVALÍAS (4)</t>
  </si>
  <si>
    <t>MINUSVALÍAS</t>
  </si>
  <si>
    <t>Esta hoja contempla la mayoria de casos y las situaciones familiares más comunes, para casos particulares dirigirse a la Agencia Tributaria.</t>
  </si>
  <si>
    <r>
      <t>2 - Rellenar las casillas que correspondan según tu situación personal (pinchar en la pestaña "</t>
    </r>
    <r>
      <rPr>
        <b/>
        <sz val="10"/>
        <rFont val="Arial"/>
        <family val="2"/>
      </rPr>
      <t>Ayuda</t>
    </r>
    <r>
      <rPr>
        <sz val="10"/>
        <rFont val="Arial"/>
        <family val="2"/>
      </rPr>
      <t>")</t>
    </r>
  </si>
  <si>
    <t>MINIMO FAMILIAR</t>
  </si>
  <si>
    <t>Derechos en "exclusiva" sobre los descendientes (1)</t>
  </si>
  <si>
    <r>
      <t>Nota 1:</t>
    </r>
    <r>
      <rPr>
        <sz val="10"/>
        <rFont val="Arial"/>
        <family val="2"/>
      </rPr>
      <t xml:space="preserve"> Derechos en "exclusiva" se refiere a cuando es el contribuyente el único que se desgrava por el hijo.</t>
    </r>
  </si>
  <si>
    <r>
      <t>Nota 2:</t>
    </r>
    <r>
      <rPr>
        <sz val="10"/>
        <rFont val="Arial"/>
        <family val="2"/>
      </rPr>
      <t xml:space="preserve"> Son considerados ascendientes los padres, los abuelos, y el resto de ascendientes en linea directa del contribuyente</t>
    </r>
  </si>
  <si>
    <t>Hijos &gt;=25 años con minusvalía  e ingresos anuales &lt;8000 euros que convivan con el contribuyente</t>
  </si>
  <si>
    <r>
      <t>Nota 3:</t>
    </r>
    <r>
      <rPr>
        <sz val="10"/>
        <rFont val="Arial"/>
        <family val="2"/>
      </rPr>
      <t xml:space="preserve"> La desgravación se prorratea en el caso de que el ascendiente, aun conviviendo más de 6 meses, no habite el año completo con el contribuyente</t>
    </r>
  </si>
  <si>
    <r>
      <t>Nota 4:</t>
    </r>
    <r>
      <rPr>
        <sz val="10"/>
        <rFont val="Arial"/>
        <family val="2"/>
      </rPr>
      <t xml:space="preserve"> Solo se aplica a los descendientes y/o ascendientes que convivan con el contribuyente y que tengan unos ingresos anuales menores de 8000 euros</t>
    </r>
  </si>
  <si>
    <t>Nº HIJOS</t>
  </si>
  <si>
    <t>2 o más</t>
  </si>
  <si>
    <t>Soltero, Viudos, Divorciado o Separado</t>
  </si>
  <si>
    <t>-</t>
  </si>
  <si>
    <t>Otros (Solteros sin hijos, cónyuge &gt; 1500 euros)</t>
  </si>
  <si>
    <t>Con cónyuge (ingresos de este &lt; 1500 euros año)</t>
  </si>
  <si>
    <t>SITUACION FAMILIAR</t>
  </si>
  <si>
    <t>BASES SEGURIDAD SOCIAL</t>
  </si>
  <si>
    <t>MÁXIMO</t>
  </si>
  <si>
    <t>MÍNIMO</t>
  </si>
  <si>
    <t>Ingenieros y Licenciados</t>
  </si>
  <si>
    <t>Ingenieros Técnicos, Peritos y Ayudantes Titulados</t>
  </si>
  <si>
    <t>Jefes Administrativos y de taller</t>
  </si>
  <si>
    <t>Ayudantes no Titulados</t>
  </si>
  <si>
    <t>Oficiales Administrativos</t>
  </si>
  <si>
    <t>Subalternos</t>
  </si>
  <si>
    <t>Auxiliares Administrativos</t>
  </si>
  <si>
    <t>Euros/mes</t>
  </si>
  <si>
    <t>CONTINGENCIAS</t>
  </si>
  <si>
    <t>F.P</t>
  </si>
  <si>
    <t>DESEMPLEO</t>
  </si>
  <si>
    <t>COTIZACIONES SEGURIDAD SOCIAL</t>
  </si>
  <si>
    <t>INTRODUCIR SEGÚN LA CATEGORÍA PROFESIONAL EL VALOR MIN. Y MAX. DE BASES DE LA S.S CORRESPONDIENTE</t>
  </si>
  <si>
    <t>Retención</t>
  </si>
  <si>
    <r>
      <t xml:space="preserve">1 - Rellenar "exclusivamente" las casillas en </t>
    </r>
    <r>
      <rPr>
        <b/>
        <sz val="10"/>
        <color indexed="10"/>
        <rFont val="Arial"/>
        <family val="2"/>
      </rPr>
      <t>rojo</t>
    </r>
    <r>
      <rPr>
        <sz val="10"/>
        <rFont val="Arial"/>
        <family val="2"/>
      </rPr>
      <t xml:space="preserve"> que apliquen</t>
    </r>
  </si>
  <si>
    <t>Número de contribuyentes que se aplican esta deducción sobre este descendiente (3)</t>
  </si>
  <si>
    <t>Pensionistas o Clases Pasivas</t>
  </si>
  <si>
    <t>Trabajador con Minusvalía &gt;=33% y &lt;65%</t>
  </si>
  <si>
    <t>Trabajador con Minúsvalía &gt;65%</t>
  </si>
  <si>
    <t>Percibe Prestacion o Subsidio por Desempleo</t>
  </si>
  <si>
    <r>
      <t xml:space="preserve">4 - En la tabla </t>
    </r>
    <r>
      <rPr>
        <b/>
        <sz val="10"/>
        <rFont val="Arial"/>
        <family val="2"/>
      </rPr>
      <t>"</t>
    </r>
    <r>
      <rPr>
        <b/>
        <i/>
        <sz val="10"/>
        <rFont val="Arial"/>
        <family val="2"/>
      </rPr>
      <t>SITUACIÓN FAMILIAR</t>
    </r>
    <r>
      <rPr>
        <b/>
        <sz val="10"/>
        <rFont val="Arial"/>
        <family val="2"/>
      </rPr>
      <t>"</t>
    </r>
    <r>
      <rPr>
        <sz val="10"/>
        <rFont val="Arial"/>
        <family val="2"/>
      </rPr>
      <t xml:space="preserve"> están los </t>
    </r>
    <r>
      <rPr>
        <i/>
        <sz val="10"/>
        <rFont val="Arial"/>
        <family val="2"/>
      </rPr>
      <t>límites de salario bruto total</t>
    </r>
    <r>
      <rPr>
        <sz val="10"/>
        <rFont val="Arial"/>
        <family val="2"/>
      </rPr>
      <t xml:space="preserve"> a partir de lo cual se retiene el IRPF. Si tu salario "</t>
    </r>
    <r>
      <rPr>
        <b/>
        <sz val="10"/>
        <rFont val="Arial"/>
        <family val="2"/>
      </rPr>
      <t>TOTAL BRUTO</t>
    </r>
    <r>
      <rPr>
        <sz val="10"/>
        <rFont val="Arial"/>
        <family val="2"/>
      </rPr>
      <t>" es menor al correspondiente a tu situación familiar te corresponde la devolución de las cantidades pagadas de IRPF (</t>
    </r>
    <r>
      <rPr>
        <b/>
        <i/>
        <sz val="10"/>
        <rFont val="Arial"/>
        <family val="2"/>
      </rPr>
      <t>RETENCIÓN IRPF</t>
    </r>
    <r>
      <rPr>
        <sz val="10"/>
        <rFont val="Arial"/>
        <family val="2"/>
      </rPr>
      <t>)</t>
    </r>
  </si>
  <si>
    <r>
      <rPr>
        <b/>
        <i/>
        <u/>
        <sz val="16"/>
        <rFont val="Arial"/>
        <family val="2"/>
      </rPr>
      <t>INSTRUCCIONES</t>
    </r>
    <r>
      <rPr>
        <sz val="10"/>
        <rFont val="Arial"/>
        <family val="2"/>
      </rPr>
      <t xml:space="preserve"> (en </t>
    </r>
    <r>
      <rPr>
        <b/>
        <sz val="10"/>
        <color indexed="10"/>
        <rFont val="Arial"/>
        <family val="2"/>
      </rPr>
      <t>rojo</t>
    </r>
    <r>
      <rPr>
        <sz val="10"/>
        <rFont val="Arial"/>
        <family val="2"/>
      </rPr>
      <t xml:space="preserve"> datos de entrada / en </t>
    </r>
    <r>
      <rPr>
        <b/>
        <sz val="10"/>
        <color indexed="48"/>
        <rFont val="Arial"/>
        <family val="2"/>
      </rPr>
      <t>azul</t>
    </r>
    <r>
      <rPr>
        <sz val="10"/>
        <rFont val="Arial"/>
        <family val="2"/>
      </rPr>
      <t xml:space="preserve"> datos de salida)</t>
    </r>
  </si>
  <si>
    <r>
      <t xml:space="preserve">5 - Basandosé en la tabla </t>
    </r>
    <r>
      <rPr>
        <b/>
        <sz val="10"/>
        <rFont val="Arial"/>
        <family val="2"/>
      </rPr>
      <t>"</t>
    </r>
    <r>
      <rPr>
        <b/>
        <i/>
        <sz val="10"/>
        <rFont val="Arial"/>
        <family val="2"/>
      </rPr>
      <t>BASES SEGURIDAD SOCIAL</t>
    </r>
    <r>
      <rPr>
        <b/>
        <sz val="10"/>
        <rFont val="Arial"/>
        <family val="2"/>
      </rPr>
      <t>"</t>
    </r>
    <r>
      <rPr>
        <sz val="10"/>
        <rFont val="Arial"/>
        <family val="2"/>
      </rPr>
      <t xml:space="preserve"> introducir los valores max. y min. correspondientes y los valores de los porcentajes de </t>
    </r>
    <r>
      <rPr>
        <b/>
        <sz val="10"/>
        <rFont val="Arial"/>
        <family val="2"/>
      </rPr>
      <t>cotización a la seguridad social por los diferentes conceptos,</t>
    </r>
    <r>
      <rPr>
        <sz val="10"/>
        <rFont val="Arial"/>
        <family val="2"/>
      </rPr>
      <t xml:space="preserve"> si procede, en las tablas al efecto (los valores a cambiar si es necesario están en </t>
    </r>
    <r>
      <rPr>
        <b/>
        <sz val="10"/>
        <color indexed="10"/>
        <rFont val="Arial"/>
        <family val="2"/>
      </rPr>
      <t>rojo</t>
    </r>
    <r>
      <rPr>
        <sz val="10"/>
        <rFont val="Arial"/>
        <family val="2"/>
      </rPr>
      <t>)</t>
    </r>
  </si>
  <si>
    <t>TIPO SS (3)</t>
  </si>
  <si>
    <t>LIBRE DE TRIBUTACIÓN (4)</t>
  </si>
  <si>
    <r>
      <t>Nota 3:</t>
    </r>
    <r>
      <rPr>
        <sz val="10"/>
        <rFont val="Arial"/>
        <family val="2"/>
      </rPr>
      <t xml:space="preserve"> Porcentaje correspondiente a la suma de los tipos pagados por; </t>
    </r>
    <r>
      <rPr>
        <b/>
        <sz val="10"/>
        <rFont val="Arial"/>
        <family val="2"/>
      </rPr>
      <t>Contingencias Comunes, Desempleo, FP,</t>
    </r>
    <r>
      <rPr>
        <sz val="10"/>
        <rFont val="Arial"/>
        <family val="2"/>
      </rPr>
      <t xml:space="preserve"> … (tipo más común = 6,35%, ver tabla "Cotizaciones Seguridad Social")</t>
    </r>
  </si>
  <si>
    <t>OTROS INGRESOS IRPF (1)</t>
  </si>
  <si>
    <t>OTROS INGRESOS SS (2)</t>
  </si>
  <si>
    <r>
      <t>Nota 1:</t>
    </r>
    <r>
      <rPr>
        <sz val="10"/>
        <rFont val="Arial"/>
        <family val="2"/>
      </rPr>
      <t xml:space="preserve"> En "Otros Ingresos IRPF" incluir el total de remuneraciones especiales y/o en especie que se reciben  durante el año con obligación de tributar al IRPF: variables, pluses, planes de pensiones, tarifas/condiciones empleados (luz, interes prestamos,...etc.)</t>
    </r>
  </si>
  <si>
    <t>En el caso de la retribución en especie incluir tanto la valoración como el ingreso a cuenta (en caso de que se repercuta el ingreso a cuenta restarlo)</t>
  </si>
  <si>
    <r>
      <t>Nota 2:</t>
    </r>
    <r>
      <rPr>
        <sz val="10"/>
        <rFont val="Arial"/>
        <family val="2"/>
      </rPr>
      <t xml:space="preserve"> En "Otros Ingresos SS" incluir el total de remuneraciones especiales y/o en especie que se recibin durante el año sin obligación de tributar al IRPF pero sí a la SS: seguros medico, seguros de vida, comida, formación…etc.</t>
    </r>
  </si>
  <si>
    <t>OTROS INGRESOS IRPF</t>
  </si>
  <si>
    <t>OTROS INGRESOS SS</t>
  </si>
  <si>
    <t>Estatal</t>
  </si>
  <si>
    <t>TABLA TRAMOS IRPF (Estatal)</t>
  </si>
  <si>
    <t>Autonómica</t>
  </si>
  <si>
    <t>GENERAL</t>
  </si>
  <si>
    <t>DOMICILIO FISCAL</t>
  </si>
  <si>
    <t>RESIDENTE EN EL EXTRANJERO</t>
  </si>
  <si>
    <t>CANARIAS</t>
  </si>
  <si>
    <t>CANTABRIA</t>
  </si>
  <si>
    <t>CATALUÑA</t>
  </si>
  <si>
    <t>EXTREMADURA</t>
  </si>
  <si>
    <t>LA RIOJA</t>
  </si>
  <si>
    <t>GALICIA</t>
  </si>
  <si>
    <t>PRINCIPADO DE ASTURIAS</t>
  </si>
  <si>
    <t>ISLAS BALEARES</t>
  </si>
  <si>
    <t>COMUNIDAD VALENCIANA</t>
  </si>
  <si>
    <t>COMUNIDAD DE MADRID</t>
  </si>
  <si>
    <t>COMUNIDAD FORAL DE NAVARRA</t>
  </si>
  <si>
    <t>CASTILLA-LA MANCHA</t>
  </si>
  <si>
    <t>CASTILLA Y LEÓN</t>
  </si>
  <si>
    <t>CIUDAD DE CEUTA</t>
  </si>
  <si>
    <t>CIUDAD DE MELILLA</t>
  </si>
  <si>
    <t>REGIÓN DE MURCIA</t>
  </si>
  <si>
    <t>ANDALUCÍA</t>
  </si>
  <si>
    <t>ARAGÓN</t>
  </si>
  <si>
    <t>PAÍS VASCO (ALAVA)</t>
  </si>
  <si>
    <t>PAÍS VASCO (GUIPÚZCOA)</t>
  </si>
  <si>
    <t>PAÍS VASCO (VIZCAYA)</t>
  </si>
  <si>
    <r>
      <t xml:space="preserve">1 - Introducir tus ingresos brutos y netos provenientes de tu </t>
    </r>
    <r>
      <rPr>
        <b/>
        <sz val="10"/>
        <rFont val="Arial"/>
        <family val="2"/>
      </rPr>
      <t>salario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>remuneraciones</t>
    </r>
    <r>
      <rPr>
        <sz val="10"/>
        <rFont val="Arial"/>
        <family val="2"/>
      </rPr>
      <t xml:space="preserve"> con deber de tributar. Elegir en el desplegable el domicilio fiscal (si no se encuentra tu comunidad autonoma/provincia elegir "</t>
    </r>
    <r>
      <rPr>
        <b/>
        <sz val="10"/>
        <rFont val="Arial"/>
        <family val="2"/>
      </rPr>
      <t>General</t>
    </r>
    <r>
      <rPr>
        <sz val="10"/>
        <rFont val="Arial"/>
        <family val="2"/>
      </rPr>
      <t>")</t>
    </r>
  </si>
  <si>
    <t>PAGAS EXTRA</t>
  </si>
  <si>
    <t>6 - En la pestaña de "14 pagas" se encuentra la simulación para obtener la retribución en 14 pagas para los mismos datos introducidos en esta pestaña</t>
  </si>
  <si>
    <r>
      <t xml:space="preserve">3 - Obtendrá el </t>
    </r>
    <r>
      <rPr>
        <b/>
        <sz val="10"/>
        <rFont val="Arial"/>
        <family val="2"/>
      </rPr>
      <t>TIPO TOTAL</t>
    </r>
    <r>
      <rPr>
        <sz val="10"/>
        <rFont val="Arial"/>
        <family val="2"/>
      </rPr>
      <t xml:space="preserve"> y el </t>
    </r>
    <r>
      <rPr>
        <b/>
        <i/>
        <sz val="10"/>
        <rFont val="Arial"/>
        <family val="2"/>
      </rPr>
      <t>TIPO IRPF</t>
    </r>
    <r>
      <rPr>
        <sz val="10"/>
        <rFont val="Arial"/>
        <family val="2"/>
      </rPr>
      <t xml:space="preserve"> que te aplica, el </t>
    </r>
    <r>
      <rPr>
        <b/>
        <sz val="10"/>
        <rFont val="Arial"/>
        <family val="2"/>
      </rPr>
      <t>salario mensual neto</t>
    </r>
    <r>
      <rPr>
        <sz val="10"/>
        <rFont val="Arial"/>
        <family val="2"/>
      </rPr>
      <t xml:space="preserve"> (12 meses) y el </t>
    </r>
    <r>
      <rPr>
        <b/>
        <sz val="10"/>
        <rFont val="Arial"/>
        <family val="2"/>
      </rPr>
      <t>salario anual neto</t>
    </r>
  </si>
  <si>
    <r>
      <t>Nota 4:</t>
    </r>
    <r>
      <rPr>
        <sz val="10"/>
        <rFont val="Arial"/>
        <family val="2"/>
      </rPr>
      <t xml:space="preserve"> En esta casilla se deben incluir el total de las remuneraciones anuales que se reciban libres de tributación de IRPF y SS.</t>
    </r>
  </si>
  <si>
    <r>
      <t>2 - Una vez rellenas las casillas necesarias regresar a la hoja principal (pinchar en la pestaña "</t>
    </r>
    <r>
      <rPr>
        <b/>
        <sz val="10"/>
        <rFont val="Arial"/>
        <family val="2"/>
      </rPr>
      <t>2018</t>
    </r>
    <r>
      <rPr>
        <sz val="10"/>
        <rFont val="Arial"/>
        <family val="2"/>
      </rPr>
      <t>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</si>
</sst>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u/>
      <sz val="10"/>
      <name val="Arial"/>
      <family val="2"/>
    </font>
    <font>
      <b/>
      <sz val="10"/>
      <color indexed="48"/>
      <name val="Arial"/>
      <family val="2"/>
    </font>
    <font>
      <b/>
      <i/>
      <u/>
      <sz val="16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75">
    <xf numFmtId="0" fontId="0" fillId="0" borderId="0" xfId="0"/>
    <xf numFmtId="164" fontId="0" fillId="0" borderId="0" xfId="0" applyNumberFormat="1"/>
    <xf numFmtId="10" fontId="0" fillId="0" borderId="0" xfId="0" applyNumberFormat="1"/>
    <xf numFmtId="164" fontId="0" fillId="0" borderId="0" xfId="0" applyNumberFormat="1" applyAlignment="1"/>
    <xf numFmtId="164" fontId="5" fillId="0" borderId="0" xfId="0" applyNumberFormat="1" applyFont="1"/>
    <xf numFmtId="10" fontId="4" fillId="0" borderId="0" xfId="0" applyNumberFormat="1" applyFont="1" applyBorder="1" applyAlignment="1">
      <alignment horizontal="center"/>
    </xf>
    <xf numFmtId="1" fontId="9" fillId="2" borderId="0" xfId="0" applyNumberFormat="1" applyFont="1" applyFill="1"/>
    <xf numFmtId="1" fontId="0" fillId="2" borderId="0" xfId="0" applyNumberFormat="1" applyFill="1"/>
    <xf numFmtId="0" fontId="0" fillId="2" borderId="0" xfId="0" applyFill="1"/>
    <xf numFmtId="10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0" fontId="0" fillId="0" borderId="4" xfId="0" applyNumberFormat="1" applyBorder="1"/>
    <xf numFmtId="164" fontId="10" fillId="0" borderId="6" xfId="0" applyNumberFormat="1" applyFont="1" applyBorder="1"/>
    <xf numFmtId="164" fontId="10" fillId="0" borderId="5" xfId="0" applyNumberFormat="1" applyFont="1" applyBorder="1"/>
    <xf numFmtId="164" fontId="7" fillId="0" borderId="8" xfId="0" applyNumberFormat="1" applyFont="1" applyBorder="1"/>
    <xf numFmtId="164" fontId="7" fillId="0" borderId="9" xfId="0" applyNumberFormat="1" applyFont="1" applyBorder="1"/>
    <xf numFmtId="10" fontId="7" fillId="0" borderId="6" xfId="0" applyNumberFormat="1" applyFont="1" applyBorder="1"/>
    <xf numFmtId="164" fontId="7" fillId="0" borderId="10" xfId="0" applyNumberFormat="1" applyFont="1" applyBorder="1"/>
    <xf numFmtId="164" fontId="7" fillId="0" borderId="11" xfId="0" applyNumberFormat="1" applyFont="1" applyBorder="1"/>
    <xf numFmtId="10" fontId="7" fillId="0" borderId="5" xfId="0" applyNumberFormat="1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10" fontId="7" fillId="0" borderId="7" xfId="0" applyNumberFormat="1" applyFont="1" applyBorder="1"/>
    <xf numFmtId="164" fontId="0" fillId="0" borderId="8" xfId="0" applyNumberFormat="1" applyBorder="1"/>
    <xf numFmtId="164" fontId="0" fillId="0" borderId="10" xfId="0" applyNumberFormat="1" applyBorder="1"/>
    <xf numFmtId="164" fontId="2" fillId="2" borderId="2" xfId="0" applyNumberFormat="1" applyFont="1" applyFill="1" applyBorder="1"/>
    <xf numFmtId="164" fontId="2" fillId="2" borderId="12" xfId="0" applyNumberFormat="1" applyFont="1" applyFill="1" applyBorder="1"/>
    <xf numFmtId="164" fontId="10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10" fontId="10" fillId="0" borderId="13" xfId="0" applyNumberFormat="1" applyFont="1" applyBorder="1"/>
    <xf numFmtId="164" fontId="10" fillId="0" borderId="13" xfId="0" applyNumberFormat="1" applyFont="1" applyBorder="1"/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2" fontId="0" fillId="0" borderId="16" xfId="0" applyNumberFormat="1" applyBorder="1"/>
    <xf numFmtId="2" fontId="0" fillId="0" borderId="17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2" fontId="0" fillId="0" borderId="21" xfId="0" applyNumberForma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7" fillId="0" borderId="6" xfId="0" applyNumberFormat="1" applyFont="1" applyBorder="1"/>
    <xf numFmtId="164" fontId="7" fillId="0" borderId="5" xfId="0" applyNumberFormat="1" applyFont="1" applyBorder="1"/>
    <xf numFmtId="0" fontId="0" fillId="0" borderId="14" xfId="0" applyBorder="1" applyAlignment="1">
      <alignment wrapText="1"/>
    </xf>
    <xf numFmtId="2" fontId="0" fillId="0" borderId="22" xfId="0" applyNumberFormat="1" applyBorder="1"/>
    <xf numFmtId="0" fontId="0" fillId="0" borderId="23" xfId="0" applyBorder="1" applyAlignment="1">
      <alignment wrapText="1"/>
    </xf>
    <xf numFmtId="2" fontId="0" fillId="0" borderId="24" xfId="0" applyNumberFormat="1" applyBorder="1"/>
    <xf numFmtId="0" fontId="0" fillId="0" borderId="0" xfId="0" applyBorder="1"/>
    <xf numFmtId="2" fontId="0" fillId="0" borderId="25" xfId="0" applyNumberFormat="1" applyBorder="1"/>
    <xf numFmtId="0" fontId="0" fillId="0" borderId="12" xfId="0" applyBorder="1" applyAlignment="1">
      <alignment wrapText="1"/>
    </xf>
    <xf numFmtId="164" fontId="10" fillId="2" borderId="6" xfId="0" applyNumberFormat="1" applyFont="1" applyFill="1" applyBorder="1" applyAlignment="1"/>
    <xf numFmtId="0" fontId="0" fillId="0" borderId="26" xfId="0" applyBorder="1"/>
    <xf numFmtId="0" fontId="8" fillId="0" borderId="27" xfId="0" applyFont="1" applyBorder="1" applyAlignment="1">
      <alignment horizontal="center"/>
    </xf>
    <xf numFmtId="2" fontId="0" fillId="0" borderId="28" xfId="0" applyNumberFormat="1" applyBorder="1"/>
    <xf numFmtId="0" fontId="0" fillId="0" borderId="29" xfId="0" applyBorder="1"/>
    <xf numFmtId="0" fontId="0" fillId="2" borderId="0" xfId="0" applyFill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7" xfId="0" applyNumberFormat="1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0" fontId="7" fillId="0" borderId="0" xfId="0" applyNumberFormat="1" applyFont="1" applyBorder="1"/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6" fillId="3" borderId="7" xfId="0" applyNumberFormat="1" applyFont="1" applyFill="1" applyBorder="1" applyAlignment="1">
      <alignment horizontal="center"/>
    </xf>
    <xf numFmtId="10" fontId="10" fillId="0" borderId="22" xfId="0" applyNumberFormat="1" applyFont="1" applyBorder="1" applyAlignment="1">
      <alignment horizontal="center"/>
    </xf>
    <xf numFmtId="0" fontId="0" fillId="0" borderId="3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2" borderId="0" xfId="0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0" fontId="10" fillId="0" borderId="31" xfId="0" applyNumberFormat="1" applyFont="1" applyBorder="1" applyAlignment="1">
      <alignment horizontal="center"/>
    </xf>
    <xf numFmtId="0" fontId="7" fillId="2" borderId="0" xfId="0" applyFont="1" applyFill="1" applyAlignment="1">
      <alignment vertical="center"/>
    </xf>
    <xf numFmtId="164" fontId="0" fillId="0" borderId="1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2" fillId="0" borderId="0" xfId="0" applyNumberFormat="1" applyFont="1" applyAlignment="1"/>
    <xf numFmtId="164" fontId="2" fillId="0" borderId="0" xfId="0" applyNumberFormat="1" applyFont="1"/>
    <xf numFmtId="164" fontId="3" fillId="2" borderId="10" xfId="0" applyNumberFormat="1" applyFont="1" applyFill="1" applyBorder="1" applyAlignment="1"/>
    <xf numFmtId="164" fontId="3" fillId="2" borderId="11" xfId="0" applyNumberFormat="1" applyFont="1" applyFill="1" applyBorder="1" applyAlignment="1"/>
    <xf numFmtId="10" fontId="0" fillId="0" borderId="6" xfId="0" applyNumberFormat="1" applyBorder="1"/>
    <xf numFmtId="164" fontId="0" fillId="0" borderId="34" xfId="0" applyNumberFormat="1" applyBorder="1"/>
    <xf numFmtId="164" fontId="0" fillId="0" borderId="33" xfId="0" applyNumberFormat="1" applyBorder="1"/>
    <xf numFmtId="0" fontId="6" fillId="3" borderId="12" xfId="0" applyNumberFormat="1" applyFont="1" applyFill="1" applyBorder="1" applyAlignment="1">
      <alignment horizontal="center"/>
    </xf>
    <xf numFmtId="0" fontId="6" fillId="3" borderId="13" xfId="0" applyNumberFormat="1" applyFont="1" applyFill="1" applyBorder="1" applyAlignment="1">
      <alignment horizontal="center"/>
    </xf>
    <xf numFmtId="164" fontId="0" fillId="0" borderId="1" xfId="0" applyNumberFormat="1" applyBorder="1"/>
    <xf numFmtId="0" fontId="2" fillId="5" borderId="0" xfId="0" applyFont="1" applyFill="1" applyAlignment="1">
      <alignment horizontal="center"/>
    </xf>
    <xf numFmtId="164" fontId="7" fillId="0" borderId="34" xfId="0" applyNumberFormat="1" applyFont="1" applyBorder="1"/>
    <xf numFmtId="164" fontId="7" fillId="0" borderId="32" xfId="0" applyNumberFormat="1" applyFont="1" applyBorder="1"/>
    <xf numFmtId="10" fontId="7" fillId="0" borderId="33" xfId="0" applyNumberFormat="1" applyFont="1" applyBorder="1"/>
    <xf numFmtId="164" fontId="0" fillId="0" borderId="0" xfId="0" applyNumberFormat="1" applyBorder="1"/>
    <xf numFmtId="164" fontId="14" fillId="0" borderId="0" xfId="0" applyNumberFormat="1" applyFont="1" applyBorder="1" applyAlignment="1"/>
    <xf numFmtId="0" fontId="0" fillId="0" borderId="0" xfId="0" applyAlignment="1">
      <alignment horizontal="left"/>
    </xf>
    <xf numFmtId="44" fontId="13" fillId="6" borderId="0" xfId="1" applyFont="1" applyFill="1"/>
    <xf numFmtId="164" fontId="13" fillId="6" borderId="0" xfId="1" applyNumberFormat="1" applyFont="1" applyFill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2" fillId="0" borderId="0" xfId="0" applyFont="1" applyBorder="1"/>
    <xf numFmtId="0" fontId="0" fillId="0" borderId="39" xfId="0" applyBorder="1"/>
    <xf numFmtId="164" fontId="0" fillId="0" borderId="38" xfId="0" applyNumberFormat="1" applyBorder="1"/>
    <xf numFmtId="10" fontId="0" fillId="0" borderId="0" xfId="0" applyNumberFormat="1" applyBorder="1"/>
    <xf numFmtId="44" fontId="0" fillId="0" borderId="0" xfId="1" applyFont="1" applyBorder="1"/>
    <xf numFmtId="44" fontId="0" fillId="0" borderId="39" xfId="1" applyFont="1" applyBorder="1"/>
    <xf numFmtId="44" fontId="13" fillId="6" borderId="38" xfId="1" applyFont="1" applyFill="1" applyBorder="1"/>
    <xf numFmtId="44" fontId="13" fillId="6" borderId="0" xfId="1" applyFont="1" applyFill="1" applyBorder="1"/>
    <xf numFmtId="44" fontId="13" fillId="6" borderId="39" xfId="1" applyFont="1" applyFill="1" applyBorder="1"/>
    <xf numFmtId="10" fontId="7" fillId="0" borderId="39" xfId="0" applyNumberFormat="1" applyFont="1" applyBorder="1"/>
    <xf numFmtId="164" fontId="0" fillId="0" borderId="39" xfId="0" applyNumberFormat="1" applyBorder="1"/>
    <xf numFmtId="10" fontId="0" fillId="0" borderId="39" xfId="0" applyNumberFormat="1" applyBorder="1"/>
    <xf numFmtId="10" fontId="4" fillId="0" borderId="39" xfId="0" applyNumberFormat="1" applyFont="1" applyBorder="1" applyAlignment="1">
      <alignment horizontal="center"/>
    </xf>
    <xf numFmtId="44" fontId="0" fillId="0" borderId="0" xfId="1" applyFont="1" applyFill="1"/>
    <xf numFmtId="164" fontId="2" fillId="0" borderId="2" xfId="0" applyNumberFormat="1" applyFont="1" applyFill="1" applyBorder="1"/>
    <xf numFmtId="164" fontId="0" fillId="0" borderId="7" xfId="0" applyNumberFormat="1" applyFill="1" applyBorder="1"/>
    <xf numFmtId="10" fontId="0" fillId="0" borderId="0" xfId="0" applyNumberFormat="1" applyFill="1" applyBorder="1"/>
    <xf numFmtId="0" fontId="0" fillId="0" borderId="0" xfId="0" applyFill="1" applyBorder="1"/>
    <xf numFmtId="44" fontId="0" fillId="0" borderId="39" xfId="1" applyFont="1" applyFill="1" applyBorder="1"/>
    <xf numFmtId="0" fontId="0" fillId="0" borderId="38" xfId="0" applyFill="1" applyBorder="1"/>
    <xf numFmtId="0" fontId="0" fillId="0" borderId="39" xfId="0" applyFill="1" applyBorder="1"/>
    <xf numFmtId="44" fontId="0" fillId="0" borderId="38" xfId="1" applyFont="1" applyFill="1" applyBorder="1"/>
    <xf numFmtId="44" fontId="0" fillId="0" borderId="0" xfId="1" applyFont="1" applyFill="1" applyBorder="1"/>
    <xf numFmtId="164" fontId="7" fillId="0" borderId="0" xfId="0" applyNumberFormat="1" applyFont="1"/>
    <xf numFmtId="164" fontId="7" fillId="0" borderId="40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164" fontId="7" fillId="0" borderId="33" xfId="0" applyNumberFormat="1" applyFont="1" applyBorder="1"/>
    <xf numFmtId="164" fontId="7" fillId="0" borderId="7" xfId="0" applyNumberFormat="1" applyFont="1" applyBorder="1"/>
    <xf numFmtId="10" fontId="7" fillId="0" borderId="19" xfId="0" applyNumberFormat="1" applyFont="1" applyBorder="1" applyAlignment="1">
      <alignment horizontal="center"/>
    </xf>
    <xf numFmtId="1" fontId="9" fillId="0" borderId="0" xfId="0" applyNumberFormat="1" applyFont="1" applyFill="1"/>
    <xf numFmtId="1" fontId="0" fillId="0" borderId="0" xfId="0" applyNumberFormat="1" applyFill="1"/>
    <xf numFmtId="0" fontId="0" fillId="0" borderId="0" xfId="0" applyFill="1"/>
    <xf numFmtId="164" fontId="8" fillId="0" borderId="6" xfId="0" applyNumberFormat="1" applyFont="1" applyBorder="1" applyProtection="1">
      <protection locked="0"/>
    </xf>
    <xf numFmtId="164" fontId="8" fillId="0" borderId="33" xfId="0" applyNumberFormat="1" applyFont="1" applyBorder="1" applyProtection="1">
      <protection locked="0"/>
    </xf>
    <xf numFmtId="164" fontId="8" fillId="0" borderId="7" xfId="0" applyNumberFormat="1" applyFont="1" applyBorder="1" applyProtection="1">
      <protection locked="0"/>
    </xf>
    <xf numFmtId="164" fontId="8" fillId="0" borderId="40" xfId="0" applyNumberFormat="1" applyFont="1" applyBorder="1" applyAlignment="1" applyProtection="1">
      <alignment horizontal="center"/>
      <protection locked="0"/>
    </xf>
    <xf numFmtId="164" fontId="8" fillId="0" borderId="41" xfId="0" applyNumberFormat="1" applyFont="1" applyBorder="1" applyAlignment="1" applyProtection="1">
      <alignment horizontal="center"/>
      <protection locked="0"/>
    </xf>
    <xf numFmtId="164" fontId="8" fillId="0" borderId="5" xfId="0" applyNumberFormat="1" applyFont="1" applyBorder="1" applyProtection="1">
      <protection locked="0"/>
    </xf>
    <xf numFmtId="10" fontId="8" fillId="0" borderId="19" xfId="0" applyNumberFormat="1" applyFont="1" applyBorder="1" applyAlignment="1" applyProtection="1">
      <alignment horizontal="center"/>
      <protection locked="0"/>
    </xf>
    <xf numFmtId="1" fontId="9" fillId="2" borderId="0" xfId="0" applyNumberFormat="1" applyFont="1" applyFill="1" applyProtection="1"/>
    <xf numFmtId="1" fontId="0" fillId="2" borderId="0" xfId="0" applyNumberFormat="1" applyFill="1" applyProtection="1"/>
    <xf numFmtId="0" fontId="0" fillId="2" borderId="0" xfId="0" applyFill="1" applyProtection="1"/>
    <xf numFmtId="1" fontId="7" fillId="2" borderId="0" xfId="0" applyNumberFormat="1" applyFont="1" applyFill="1" applyAlignment="1" applyProtection="1">
      <alignment vertical="center"/>
    </xf>
    <xf numFmtId="1" fontId="0" fillId="2" borderId="0" xfId="0" applyNumberForma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164" fontId="0" fillId="0" borderId="0" xfId="0" applyNumberFormat="1" applyProtection="1"/>
    <xf numFmtId="164" fontId="0" fillId="0" borderId="0" xfId="0" applyNumberFormat="1" applyAlignment="1" applyProtection="1"/>
    <xf numFmtId="10" fontId="0" fillId="0" borderId="0" xfId="0" applyNumberFormat="1" applyProtection="1"/>
    <xf numFmtId="164" fontId="14" fillId="0" borderId="0" xfId="0" applyNumberFormat="1" applyFont="1" applyBorder="1" applyAlignment="1" applyProtection="1"/>
    <xf numFmtId="164" fontId="7" fillId="0" borderId="0" xfId="0" applyNumberFormat="1" applyFont="1" applyProtection="1"/>
    <xf numFmtId="164" fontId="6" fillId="3" borderId="9" xfId="0" applyNumberFormat="1" applyFont="1" applyFill="1" applyBorder="1" applyAlignment="1" applyProtection="1">
      <alignment horizontal="center"/>
    </xf>
    <xf numFmtId="164" fontId="6" fillId="3" borderId="6" xfId="0" applyNumberFormat="1" applyFont="1" applyFill="1" applyBorder="1" applyAlignment="1" applyProtection="1">
      <alignment horizontal="center"/>
    </xf>
    <xf numFmtId="164" fontId="6" fillId="3" borderId="2" xfId="0" applyNumberFormat="1" applyFont="1" applyFill="1" applyBorder="1" applyAlignment="1" applyProtection="1">
      <alignment horizontal="center"/>
    </xf>
    <xf numFmtId="164" fontId="6" fillId="3" borderId="3" xfId="0" applyNumberFormat="1" applyFont="1" applyFill="1" applyBorder="1" applyAlignment="1" applyProtection="1">
      <alignment horizontal="center"/>
    </xf>
    <xf numFmtId="0" fontId="6" fillId="3" borderId="7" xfId="0" applyNumberFormat="1" applyFont="1" applyFill="1" applyBorder="1" applyAlignment="1" applyProtection="1">
      <alignment horizontal="center"/>
    </xf>
    <xf numFmtId="0" fontId="6" fillId="3" borderId="3" xfId="0" applyNumberFormat="1" applyFont="1" applyFill="1" applyBorder="1" applyAlignment="1" applyProtection="1">
      <alignment horizontal="center"/>
    </xf>
    <xf numFmtId="164" fontId="7" fillId="0" borderId="8" xfId="0" applyNumberFormat="1" applyFont="1" applyBorder="1" applyProtection="1"/>
    <xf numFmtId="164" fontId="7" fillId="0" borderId="9" xfId="0" applyNumberFormat="1" applyFont="1" applyBorder="1" applyProtection="1"/>
    <xf numFmtId="10" fontId="7" fillId="0" borderId="6" xfId="0" applyNumberFormat="1" applyFont="1" applyBorder="1" applyProtection="1"/>
    <xf numFmtId="164" fontId="7" fillId="0" borderId="10" xfId="0" applyNumberFormat="1" applyFont="1" applyBorder="1" applyProtection="1"/>
    <xf numFmtId="164" fontId="7" fillId="0" borderId="11" xfId="0" applyNumberFormat="1" applyFont="1" applyBorder="1" applyProtection="1"/>
    <xf numFmtId="10" fontId="7" fillId="0" borderId="5" xfId="0" applyNumberFormat="1" applyFont="1" applyBorder="1" applyProtection="1"/>
    <xf numFmtId="164" fontId="0" fillId="0" borderId="13" xfId="0" applyNumberFormat="1" applyBorder="1" applyProtection="1"/>
    <xf numFmtId="164" fontId="5" fillId="0" borderId="0" xfId="0" applyNumberFormat="1" applyFont="1" applyProtection="1"/>
    <xf numFmtId="164" fontId="7" fillId="0" borderId="6" xfId="0" applyNumberFormat="1" applyFont="1" applyBorder="1" applyProtection="1"/>
    <xf numFmtId="164" fontId="7" fillId="0" borderId="2" xfId="0" applyNumberFormat="1" applyFont="1" applyBorder="1" applyProtection="1"/>
    <xf numFmtId="164" fontId="7" fillId="0" borderId="3" xfId="0" applyNumberFormat="1" applyFont="1" applyBorder="1" applyProtection="1"/>
    <xf numFmtId="10" fontId="7" fillId="0" borderId="7" xfId="0" applyNumberFormat="1" applyFont="1" applyBorder="1" applyProtection="1"/>
    <xf numFmtId="164" fontId="7" fillId="0" borderId="5" xfId="0" applyNumberFormat="1" applyFont="1" applyBorder="1" applyProtection="1"/>
    <xf numFmtId="0" fontId="6" fillId="3" borderId="12" xfId="0" applyNumberFormat="1" applyFont="1" applyFill="1" applyBorder="1" applyAlignment="1" applyProtection="1">
      <alignment horizontal="center"/>
    </xf>
    <xf numFmtId="0" fontId="6" fillId="3" borderId="13" xfId="0" applyNumberFormat="1" applyFont="1" applyFill="1" applyBorder="1" applyAlignment="1" applyProtection="1">
      <alignment horizontal="center"/>
    </xf>
    <xf numFmtId="164" fontId="0" fillId="0" borderId="4" xfId="0" applyNumberFormat="1" applyBorder="1" applyProtection="1"/>
    <xf numFmtId="164" fontId="0" fillId="0" borderId="34" xfId="0" applyNumberFormat="1" applyBorder="1" applyProtection="1"/>
    <xf numFmtId="164" fontId="0" fillId="0" borderId="33" xfId="0" applyNumberFormat="1" applyBorder="1" applyProtection="1"/>
    <xf numFmtId="164" fontId="0" fillId="0" borderId="10" xfId="0" applyNumberFormat="1" applyBorder="1" applyProtection="1"/>
    <xf numFmtId="164" fontId="0" fillId="0" borderId="5" xfId="0" applyNumberFormat="1" applyBorder="1" applyProtection="1"/>
    <xf numFmtId="164" fontId="6" fillId="3" borderId="7" xfId="0" applyNumberFormat="1" applyFont="1" applyFill="1" applyBorder="1" applyAlignment="1" applyProtection="1">
      <alignment horizontal="center"/>
    </xf>
    <xf numFmtId="164" fontId="0" fillId="0" borderId="32" xfId="0" applyNumberFormat="1" applyBorder="1" applyAlignment="1" applyProtection="1">
      <alignment horizontal="center"/>
    </xf>
    <xf numFmtId="164" fontId="0" fillId="0" borderId="33" xfId="0" applyNumberFormat="1" applyBorder="1" applyAlignment="1" applyProtection="1">
      <alignment horizontal="center"/>
    </xf>
    <xf numFmtId="164" fontId="3" fillId="0" borderId="10" xfId="0" applyNumberFormat="1" applyFont="1" applyBorder="1" applyAlignment="1" applyProtection="1">
      <alignment horizontal="left"/>
    </xf>
    <xf numFmtId="164" fontId="3" fillId="0" borderId="11" xfId="0" applyNumberFormat="1" applyFont="1" applyBorder="1" applyAlignment="1" applyProtection="1">
      <alignment horizontal="left"/>
    </xf>
    <xf numFmtId="164" fontId="0" fillId="0" borderId="11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2" fillId="2" borderId="2" xfId="0" applyNumberFormat="1" applyFont="1" applyFill="1" applyBorder="1" applyProtection="1"/>
    <xf numFmtId="164" fontId="0" fillId="0" borderId="7" xfId="0" applyNumberFormat="1" applyBorder="1" applyProtection="1"/>
    <xf numFmtId="164" fontId="0" fillId="0" borderId="1" xfId="0" applyNumberFormat="1" applyBorder="1" applyProtection="1"/>
    <xf numFmtId="164" fontId="0" fillId="0" borderId="6" xfId="0" applyNumberFormat="1" applyBorder="1" applyProtection="1"/>
    <xf numFmtId="164" fontId="0" fillId="0" borderId="3" xfId="0" applyNumberFormat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164" fontId="0" fillId="0" borderId="8" xfId="0" applyNumberFormat="1" applyBorder="1" applyProtection="1"/>
    <xf numFmtId="10" fontId="0" fillId="0" borderId="6" xfId="0" applyNumberFormat="1" applyBorder="1" applyProtection="1"/>
    <xf numFmtId="10" fontId="4" fillId="0" borderId="0" xfId="0" applyNumberFormat="1" applyFont="1" applyBorder="1" applyAlignment="1" applyProtection="1">
      <alignment horizontal="center"/>
    </xf>
    <xf numFmtId="10" fontId="0" fillId="0" borderId="4" xfId="0" applyNumberFormat="1" applyBorder="1" applyProtection="1"/>
    <xf numFmtId="10" fontId="10" fillId="0" borderId="13" xfId="0" applyNumberFormat="1" applyFont="1" applyBorder="1" applyProtection="1"/>
    <xf numFmtId="164" fontId="10" fillId="0" borderId="6" xfId="0" applyNumberFormat="1" applyFont="1" applyBorder="1" applyProtection="1"/>
    <xf numFmtId="164" fontId="10" fillId="0" borderId="5" xfId="0" applyNumberFormat="1" applyFont="1" applyBorder="1" applyProtection="1"/>
    <xf numFmtId="10" fontId="6" fillId="3" borderId="1" xfId="0" applyNumberFormat="1" applyFont="1" applyFill="1" applyBorder="1" applyAlignment="1" applyProtection="1">
      <alignment horizontal="center"/>
    </xf>
    <xf numFmtId="10" fontId="7" fillId="0" borderId="0" xfId="0" applyNumberFormat="1" applyFont="1" applyBorder="1" applyProtection="1"/>
    <xf numFmtId="164" fontId="2" fillId="2" borderId="12" xfId="0" applyNumberFormat="1" applyFont="1" applyFill="1" applyBorder="1" applyProtection="1"/>
    <xf numFmtId="164" fontId="10" fillId="0" borderId="13" xfId="0" applyNumberFormat="1" applyFont="1" applyBorder="1" applyAlignment="1" applyProtection="1">
      <alignment horizontal="center"/>
    </xf>
    <xf numFmtId="10" fontId="10" fillId="0" borderId="31" xfId="0" applyNumberFormat="1" applyFont="1" applyBorder="1" applyAlignment="1" applyProtection="1">
      <alignment horizontal="center"/>
    </xf>
    <xf numFmtId="10" fontId="10" fillId="0" borderId="22" xfId="0" applyNumberFormat="1" applyFont="1" applyBorder="1" applyAlignment="1" applyProtection="1">
      <alignment horizontal="center"/>
    </xf>
    <xf numFmtId="164" fontId="0" fillId="0" borderId="42" xfId="0" applyNumberFormat="1" applyBorder="1" applyProtection="1"/>
    <xf numFmtId="164" fontId="10" fillId="0" borderId="13" xfId="0" applyNumberFormat="1" applyFont="1" applyBorder="1" applyProtection="1"/>
    <xf numFmtId="164" fontId="2" fillId="0" borderId="0" xfId="0" applyNumberFormat="1" applyFont="1" applyAlignment="1" applyProtection="1"/>
    <xf numFmtId="164" fontId="2" fillId="0" borderId="0" xfId="0" applyNumberFormat="1" applyFont="1" applyProtection="1"/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left" vertical="center" wrapText="1"/>
    </xf>
    <xf numFmtId="1" fontId="0" fillId="2" borderId="0" xfId="0" applyNumberFormat="1" applyFill="1" applyAlignment="1" applyProtection="1">
      <alignment horizontal="left" vertical="center" wrapText="1"/>
    </xf>
    <xf numFmtId="164" fontId="3" fillId="2" borderId="12" xfId="0" applyNumberFormat="1" applyFont="1" applyFill="1" applyBorder="1" applyAlignment="1" applyProtection="1"/>
    <xf numFmtId="164" fontId="3" fillId="2" borderId="13" xfId="0" applyNumberFormat="1" applyFont="1" applyFill="1" applyBorder="1" applyAlignment="1" applyProtection="1"/>
    <xf numFmtId="164" fontId="14" fillId="0" borderId="40" xfId="0" applyNumberFormat="1" applyFont="1" applyBorder="1" applyAlignment="1" applyProtection="1">
      <alignment horizontal="center"/>
      <protection locked="0"/>
    </xf>
    <xf numFmtId="164" fontId="14" fillId="0" borderId="56" xfId="0" applyNumberFormat="1" applyFont="1" applyBorder="1" applyAlignment="1" applyProtection="1">
      <alignment horizontal="center"/>
      <protection locked="0"/>
    </xf>
    <xf numFmtId="164" fontId="14" fillId="0" borderId="41" xfId="0" applyNumberFormat="1" applyFont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/>
    <xf numFmtId="164" fontId="3" fillId="2" borderId="9" xfId="0" applyNumberFormat="1" applyFont="1" applyFill="1" applyBorder="1" applyAlignment="1" applyProtection="1"/>
    <xf numFmtId="164" fontId="6" fillId="3" borderId="8" xfId="0" applyNumberFormat="1" applyFont="1" applyFill="1" applyBorder="1" applyAlignment="1" applyProtection="1">
      <alignment horizontal="center"/>
    </xf>
    <xf numFmtId="164" fontId="6" fillId="3" borderId="9" xfId="0" applyNumberFormat="1" applyFont="1" applyFill="1" applyBorder="1" applyAlignment="1" applyProtection="1">
      <alignment horizontal="center"/>
    </xf>
    <xf numFmtId="164" fontId="6" fillId="3" borderId="6" xfId="0" applyNumberFormat="1" applyFont="1" applyFill="1" applyBorder="1" applyAlignment="1" applyProtection="1">
      <alignment horizontal="center"/>
    </xf>
    <xf numFmtId="164" fontId="6" fillId="3" borderId="51" xfId="0" applyNumberFormat="1" applyFont="1" applyFill="1" applyBorder="1" applyAlignment="1" applyProtection="1">
      <alignment horizontal="left" vertical="center"/>
    </xf>
    <xf numFmtId="164" fontId="6" fillId="3" borderId="57" xfId="0" applyNumberFormat="1" applyFont="1" applyFill="1" applyBorder="1" applyAlignment="1" applyProtection="1">
      <alignment horizontal="left" vertical="center"/>
    </xf>
    <xf numFmtId="164" fontId="6" fillId="3" borderId="15" xfId="0" applyNumberFormat="1" applyFont="1" applyFill="1" applyBorder="1" applyAlignment="1" applyProtection="1">
      <alignment horizontal="left" vertical="center"/>
    </xf>
    <xf numFmtId="164" fontId="6" fillId="3" borderId="58" xfId="0" applyNumberFormat="1" applyFont="1" applyFill="1" applyBorder="1" applyAlignment="1" applyProtection="1">
      <alignment horizontal="left" vertical="center"/>
    </xf>
    <xf numFmtId="164" fontId="6" fillId="3" borderId="59" xfId="0" applyNumberFormat="1" applyFont="1" applyFill="1" applyBorder="1" applyAlignment="1" applyProtection="1">
      <alignment horizontal="center"/>
    </xf>
    <xf numFmtId="164" fontId="6" fillId="3" borderId="60" xfId="0" applyNumberFormat="1" applyFont="1" applyFill="1" applyBorder="1" applyAlignment="1" applyProtection="1">
      <alignment horizontal="center"/>
    </xf>
    <xf numFmtId="164" fontId="6" fillId="3" borderId="61" xfId="0" applyNumberFormat="1" applyFont="1" applyFill="1" applyBorder="1" applyAlignment="1" applyProtection="1">
      <alignment horizontal="center"/>
    </xf>
    <xf numFmtId="164" fontId="3" fillId="2" borderId="10" xfId="0" applyNumberFormat="1" applyFont="1" applyFill="1" applyBorder="1" applyAlignment="1" applyProtection="1"/>
    <xf numFmtId="164" fontId="3" fillId="2" borderId="11" xfId="0" applyNumberFormat="1" applyFont="1" applyFill="1" applyBorder="1" applyAlignment="1" applyProtection="1"/>
    <xf numFmtId="164" fontId="2" fillId="2" borderId="12" xfId="0" applyNumberFormat="1" applyFont="1" applyFill="1" applyBorder="1" applyAlignment="1" applyProtection="1"/>
    <xf numFmtId="164" fontId="2" fillId="2" borderId="48" xfId="0" applyNumberFormat="1" applyFont="1" applyFill="1" applyBorder="1" applyAlignment="1" applyProtection="1"/>
    <xf numFmtId="164" fontId="3" fillId="0" borderId="10" xfId="0" applyNumberFormat="1" applyFont="1" applyBorder="1" applyAlignment="1" applyProtection="1">
      <alignment horizontal="left" wrapText="1"/>
    </xf>
    <xf numFmtId="164" fontId="3" fillId="0" borderId="11" xfId="0" applyNumberFormat="1" applyFont="1" applyBorder="1" applyAlignment="1" applyProtection="1">
      <alignment horizontal="left" wrapText="1"/>
    </xf>
    <xf numFmtId="164" fontId="0" fillId="0" borderId="11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/>
    <xf numFmtId="164" fontId="3" fillId="2" borderId="3" xfId="0" applyNumberFormat="1" applyFont="1" applyFill="1" applyBorder="1" applyAlignment="1" applyProtection="1"/>
    <xf numFmtId="164" fontId="3" fillId="0" borderId="8" xfId="0" applyNumberFormat="1" applyFont="1" applyBorder="1" applyAlignment="1" applyProtection="1">
      <alignment horizontal="left" wrapText="1"/>
    </xf>
    <xf numFmtId="164" fontId="3" fillId="0" borderId="9" xfId="0" applyNumberFormat="1" applyFont="1" applyBorder="1" applyAlignment="1" applyProtection="1">
      <alignment horizontal="left" wrapText="1"/>
    </xf>
    <xf numFmtId="164" fontId="0" fillId="0" borderId="9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164" fontId="3" fillId="0" borderId="2" xfId="0" applyNumberFormat="1" applyFont="1" applyBorder="1" applyAlignment="1" applyProtection="1">
      <alignment horizontal="left" wrapText="1"/>
    </xf>
    <xf numFmtId="164" fontId="3" fillId="0" borderId="3" xfId="0" applyNumberFormat="1" applyFont="1" applyBorder="1" applyAlignment="1" applyProtection="1">
      <alignment horizontal="left" wrapText="1"/>
    </xf>
    <xf numFmtId="164" fontId="0" fillId="0" borderId="3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164" fontId="3" fillId="3" borderId="40" xfId="0" applyNumberFormat="1" applyFont="1" applyFill="1" applyBorder="1" applyAlignment="1" applyProtection="1">
      <alignment horizontal="center"/>
    </xf>
    <xf numFmtId="164" fontId="3" fillId="3" borderId="56" xfId="0" applyNumberFormat="1" applyFont="1" applyFill="1" applyBorder="1" applyAlignment="1" applyProtection="1">
      <alignment horizontal="center"/>
    </xf>
    <xf numFmtId="164" fontId="3" fillId="3" borderId="41" xfId="0" applyNumberFormat="1" applyFont="1" applyFill="1" applyBorder="1" applyAlignment="1" applyProtection="1">
      <alignment horizontal="center"/>
    </xf>
    <xf numFmtId="164" fontId="0" fillId="0" borderId="54" xfId="0" applyNumberFormat="1" applyBorder="1" applyAlignment="1" applyProtection="1">
      <alignment horizontal="center"/>
    </xf>
    <xf numFmtId="164" fontId="0" fillId="0" borderId="55" xfId="0" applyNumberForma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left" vertical="center"/>
    </xf>
    <xf numFmtId="164" fontId="6" fillId="3" borderId="9" xfId="0" applyNumberFormat="1" applyFont="1" applyFill="1" applyBorder="1" applyAlignment="1" applyProtection="1">
      <alignment horizontal="left" vertical="center"/>
    </xf>
    <xf numFmtId="164" fontId="6" fillId="3" borderId="2" xfId="0" applyNumberFormat="1" applyFont="1" applyFill="1" applyBorder="1" applyAlignment="1" applyProtection="1">
      <alignment horizontal="left" vertical="center"/>
    </xf>
    <xf numFmtId="164" fontId="6" fillId="3" borderId="3" xfId="0" applyNumberFormat="1" applyFont="1" applyFill="1" applyBorder="1" applyAlignment="1" applyProtection="1">
      <alignment horizontal="left" vertical="center"/>
    </xf>
    <xf numFmtId="164" fontId="3" fillId="0" borderId="34" xfId="0" applyNumberFormat="1" applyFont="1" applyBorder="1" applyAlignment="1" applyProtection="1">
      <alignment horizontal="left"/>
    </xf>
    <xf numFmtId="164" fontId="3" fillId="0" borderId="32" xfId="0" applyNumberFormat="1" applyFont="1" applyBorder="1" applyAlignment="1" applyProtection="1">
      <alignment horizontal="left"/>
    </xf>
    <xf numFmtId="164" fontId="3" fillId="0" borderId="10" xfId="0" applyNumberFormat="1" applyFont="1" applyBorder="1" applyAlignment="1" applyProtection="1">
      <alignment horizontal="left"/>
    </xf>
    <xf numFmtId="164" fontId="3" fillId="0" borderId="11" xfId="0" applyNumberFormat="1" applyFont="1" applyBorder="1" applyAlignment="1" applyProtection="1">
      <alignment horizontal="left"/>
    </xf>
    <xf numFmtId="164" fontId="2" fillId="2" borderId="8" xfId="0" applyNumberFormat="1" applyFont="1" applyFill="1" applyBorder="1" applyAlignment="1" applyProtection="1"/>
    <xf numFmtId="164" fontId="2" fillId="2" borderId="9" xfId="0" applyNumberFormat="1" applyFont="1" applyFill="1" applyBorder="1" applyAlignment="1" applyProtection="1"/>
    <xf numFmtId="164" fontId="2" fillId="2" borderId="2" xfId="0" applyNumberFormat="1" applyFont="1" applyFill="1" applyBorder="1" applyAlignment="1" applyProtection="1"/>
    <xf numFmtId="164" fontId="2" fillId="2" borderId="3" xfId="0" applyNumberFormat="1" applyFont="1" applyFill="1" applyBorder="1" applyAlignment="1" applyProtection="1"/>
    <xf numFmtId="164" fontId="3" fillId="0" borderId="2" xfId="0" applyNumberFormat="1" applyFont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164" fontId="6" fillId="3" borderId="51" xfId="0" applyNumberFormat="1" applyFont="1" applyFill="1" applyBorder="1" applyAlignment="1" applyProtection="1">
      <alignment horizontal="center" wrapText="1"/>
    </xf>
    <xf numFmtId="164" fontId="6" fillId="3" borderId="52" xfId="0" applyNumberFormat="1" applyFont="1" applyFill="1" applyBorder="1" applyAlignment="1" applyProtection="1">
      <alignment horizontal="center" wrapText="1"/>
    </xf>
    <xf numFmtId="164" fontId="6" fillId="3" borderId="14" xfId="0" applyNumberFormat="1" applyFont="1" applyFill="1" applyBorder="1" applyAlignment="1" applyProtection="1">
      <alignment horizontal="center" wrapText="1"/>
    </xf>
    <xf numFmtId="164" fontId="6" fillId="3" borderId="0" xfId="0" applyNumberFormat="1" applyFont="1" applyFill="1" applyBorder="1" applyAlignment="1" applyProtection="1">
      <alignment horizontal="center" wrapText="1"/>
    </xf>
    <xf numFmtId="164" fontId="6" fillId="3" borderId="15" xfId="0" applyNumberFormat="1" applyFont="1" applyFill="1" applyBorder="1" applyAlignment="1" applyProtection="1">
      <alignment horizontal="center" wrapText="1"/>
    </xf>
    <xf numFmtId="164" fontId="6" fillId="3" borderId="53" xfId="0" applyNumberFormat="1" applyFont="1" applyFill="1" applyBorder="1" applyAlignment="1" applyProtection="1">
      <alignment horizontal="center" wrapText="1"/>
    </xf>
    <xf numFmtId="164" fontId="6" fillId="3" borderId="17" xfId="0" applyNumberFormat="1" applyFont="1" applyFill="1" applyBorder="1" applyAlignment="1" applyProtection="1">
      <alignment horizontal="center" wrapText="1"/>
    </xf>
    <xf numFmtId="164" fontId="6" fillId="3" borderId="40" xfId="0" applyNumberFormat="1" applyFont="1" applyFill="1" applyBorder="1" applyAlignment="1" applyProtection="1">
      <alignment horizontal="center"/>
    </xf>
    <xf numFmtId="164" fontId="6" fillId="3" borderId="41" xfId="0" applyNumberFormat="1" applyFont="1" applyFill="1" applyBorder="1" applyAlignment="1" applyProtection="1">
      <alignment horizontal="center"/>
    </xf>
    <xf numFmtId="164" fontId="6" fillId="3" borderId="20" xfId="0" applyNumberFormat="1" applyFont="1" applyFill="1" applyBorder="1" applyAlignment="1" applyProtection="1">
      <alignment horizontal="center"/>
    </xf>
    <xf numFmtId="164" fontId="6" fillId="3" borderId="49" xfId="0" applyNumberFormat="1" applyFont="1" applyFill="1" applyBorder="1" applyAlignment="1" applyProtection="1">
      <alignment horizontal="center"/>
    </xf>
    <xf numFmtId="164" fontId="6" fillId="3" borderId="50" xfId="0" applyNumberFormat="1" applyFont="1" applyFill="1" applyBorder="1" applyAlignment="1" applyProtection="1">
      <alignment horizontal="center"/>
    </xf>
    <xf numFmtId="10" fontId="8" fillId="0" borderId="40" xfId="0" applyNumberFormat="1" applyFont="1" applyBorder="1" applyAlignment="1" applyProtection="1">
      <alignment horizontal="center"/>
      <protection locked="0"/>
    </xf>
    <xf numFmtId="10" fontId="8" fillId="0" borderId="44" xfId="0" applyNumberFormat="1" applyFont="1" applyBorder="1" applyAlignment="1" applyProtection="1">
      <alignment horizontal="center"/>
      <protection locked="0"/>
    </xf>
    <xf numFmtId="10" fontId="8" fillId="0" borderId="45" xfId="0" applyNumberFormat="1" applyFont="1" applyBorder="1" applyAlignment="1" applyProtection="1">
      <alignment horizontal="center"/>
      <protection locked="0"/>
    </xf>
    <xf numFmtId="164" fontId="0" fillId="0" borderId="46" xfId="0" applyNumberFormat="1" applyBorder="1" applyAlignment="1" applyProtection="1">
      <alignment horizontal="center"/>
    </xf>
    <xf numFmtId="164" fontId="0" fillId="0" borderId="47" xfId="0" applyNumberFormat="1" applyBorder="1" applyAlignment="1" applyProtection="1">
      <alignment horizontal="center"/>
    </xf>
    <xf numFmtId="164" fontId="2" fillId="2" borderId="12" xfId="0" applyNumberFormat="1" applyFont="1" applyFill="1" applyBorder="1" applyAlignment="1" applyProtection="1">
      <alignment horizontal="left"/>
    </xf>
    <xf numFmtId="164" fontId="2" fillId="2" borderId="48" xfId="0" applyNumberFormat="1" applyFont="1" applyFill="1" applyBorder="1" applyAlignment="1" applyProtection="1">
      <alignment horizontal="left"/>
    </xf>
    <xf numFmtId="164" fontId="6" fillId="3" borderId="59" xfId="0" applyNumberFormat="1" applyFont="1" applyFill="1" applyBorder="1" applyAlignment="1">
      <alignment horizontal="center"/>
    </xf>
    <xf numFmtId="164" fontId="6" fillId="3" borderId="60" xfId="0" applyNumberFormat="1" applyFont="1" applyFill="1" applyBorder="1" applyAlignment="1">
      <alignment horizontal="center"/>
    </xf>
    <xf numFmtId="164" fontId="6" fillId="3" borderId="61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/>
    <xf numFmtId="164" fontId="3" fillId="2" borderId="11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3" xfId="0" applyNumberFormat="1" applyFont="1" applyFill="1" applyBorder="1" applyAlignment="1"/>
    <xf numFmtId="164" fontId="7" fillId="0" borderId="40" xfId="0" applyNumberFormat="1" applyFont="1" applyBorder="1" applyAlignment="1">
      <alignment horizontal="center"/>
    </xf>
    <xf numFmtId="164" fontId="7" fillId="0" borderId="56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164" fontId="3" fillId="2" borderId="8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6" fillId="3" borderId="8" xfId="0" applyNumberFormat="1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51" xfId="0" applyNumberFormat="1" applyFont="1" applyFill="1" applyBorder="1" applyAlignment="1">
      <alignment horizontal="left" vertical="center"/>
    </xf>
    <xf numFmtId="164" fontId="6" fillId="3" borderId="57" xfId="0" applyNumberFormat="1" applyFont="1" applyFill="1" applyBorder="1" applyAlignment="1">
      <alignment horizontal="left" vertical="center"/>
    </xf>
    <xf numFmtId="164" fontId="6" fillId="3" borderId="15" xfId="0" applyNumberFormat="1" applyFont="1" applyFill="1" applyBorder="1" applyAlignment="1">
      <alignment horizontal="left" vertical="center"/>
    </xf>
    <xf numFmtId="164" fontId="6" fillId="3" borderId="58" xfId="0" applyNumberFormat="1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/>
    <xf numFmtId="164" fontId="2" fillId="2" borderId="48" xfId="0" applyNumberFormat="1" applyFont="1" applyFill="1" applyBorder="1" applyAlignment="1"/>
    <xf numFmtId="164" fontId="3" fillId="0" borderId="10" xfId="0" applyNumberFormat="1" applyFont="1" applyBorder="1" applyAlignment="1">
      <alignment horizontal="left" wrapText="1"/>
    </xf>
    <xf numFmtId="164" fontId="3" fillId="0" borderId="11" xfId="0" applyNumberFormat="1" applyFont="1" applyBorder="1" applyAlignment="1">
      <alignment horizontal="left" wrapText="1"/>
    </xf>
    <xf numFmtId="164" fontId="0" fillId="0" borderId="1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3" fillId="2" borderId="2" xfId="0" applyNumberFormat="1" applyFont="1" applyFill="1" applyBorder="1" applyAlignment="1"/>
    <xf numFmtId="164" fontId="3" fillId="2" borderId="3" xfId="0" applyNumberFormat="1" applyFont="1" applyFill="1" applyBorder="1" applyAlignment="1"/>
    <xf numFmtId="164" fontId="3" fillId="0" borderId="8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left" wrapText="1"/>
    </xf>
    <xf numFmtId="164" fontId="0" fillId="0" borderId="9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left" wrapText="1"/>
    </xf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3" fillId="3" borderId="40" xfId="0" applyNumberFormat="1" applyFont="1" applyFill="1" applyBorder="1" applyAlignment="1">
      <alignment horizontal="center"/>
    </xf>
    <xf numFmtId="164" fontId="3" fillId="3" borderId="56" xfId="0" applyNumberFormat="1" applyFont="1" applyFill="1" applyBorder="1" applyAlignment="1">
      <alignment horizontal="center"/>
    </xf>
    <xf numFmtId="164" fontId="3" fillId="3" borderId="41" xfId="0" applyNumberFormat="1" applyFont="1" applyFill="1" applyBorder="1" applyAlignment="1">
      <alignment horizontal="center"/>
    </xf>
    <xf numFmtId="164" fontId="0" fillId="0" borderId="54" xfId="0" applyNumberFormat="1" applyBorder="1" applyAlignment="1">
      <alignment horizontal="center"/>
    </xf>
    <xf numFmtId="164" fontId="0" fillId="0" borderId="55" xfId="0" applyNumberFormat="1" applyBorder="1" applyAlignment="1">
      <alignment horizontal="center"/>
    </xf>
    <xf numFmtId="164" fontId="6" fillId="3" borderId="8" xfId="0" applyNumberFormat="1" applyFont="1" applyFill="1" applyBorder="1" applyAlignment="1">
      <alignment horizontal="left" vertical="center"/>
    </xf>
    <xf numFmtId="164" fontId="6" fillId="3" borderId="9" xfId="0" applyNumberFormat="1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/>
    </xf>
    <xf numFmtId="164" fontId="3" fillId="0" borderId="32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2" fillId="2" borderId="8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2" fillId="2" borderId="2" xfId="0" applyNumberFormat="1" applyFont="1" applyFill="1" applyBorder="1" applyAlignment="1"/>
    <xf numFmtId="164" fontId="2" fillId="2" borderId="3" xfId="0" applyNumberFormat="1" applyFont="1" applyFill="1" applyBorder="1" applyAlignment="1"/>
    <xf numFmtId="164" fontId="3" fillId="0" borderId="2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6" fillId="3" borderId="51" xfId="0" applyNumberFormat="1" applyFont="1" applyFill="1" applyBorder="1" applyAlignment="1">
      <alignment horizontal="center" wrapText="1"/>
    </xf>
    <xf numFmtId="164" fontId="6" fillId="3" borderId="52" xfId="0" applyNumberFormat="1" applyFont="1" applyFill="1" applyBorder="1" applyAlignment="1">
      <alignment horizontal="center" wrapText="1"/>
    </xf>
    <xf numFmtId="164" fontId="6" fillId="3" borderId="14" xfId="0" applyNumberFormat="1" applyFont="1" applyFill="1" applyBorder="1" applyAlignment="1">
      <alignment horizontal="center" wrapText="1"/>
    </xf>
    <xf numFmtId="164" fontId="6" fillId="3" borderId="0" xfId="0" applyNumberFormat="1" applyFont="1" applyFill="1" applyBorder="1" applyAlignment="1">
      <alignment horizontal="center" wrapText="1"/>
    </xf>
    <xf numFmtId="164" fontId="6" fillId="3" borderId="15" xfId="0" applyNumberFormat="1" applyFont="1" applyFill="1" applyBorder="1" applyAlignment="1">
      <alignment horizontal="center" wrapText="1"/>
    </xf>
    <xf numFmtId="164" fontId="6" fillId="3" borderId="53" xfId="0" applyNumberFormat="1" applyFont="1" applyFill="1" applyBorder="1" applyAlignment="1">
      <alignment horizontal="center" wrapText="1"/>
    </xf>
    <xf numFmtId="164" fontId="6" fillId="3" borderId="17" xfId="0" applyNumberFormat="1" applyFont="1" applyFill="1" applyBorder="1" applyAlignment="1">
      <alignment horizontal="center" wrapText="1"/>
    </xf>
    <xf numFmtId="10" fontId="7" fillId="0" borderId="40" xfId="0" applyNumberFormat="1" applyFont="1" applyBorder="1" applyAlignment="1">
      <alignment horizontal="center"/>
    </xf>
    <xf numFmtId="10" fontId="7" fillId="0" borderId="44" xfId="0" applyNumberFormat="1" applyFont="1" applyBorder="1" applyAlignment="1">
      <alignment horizontal="center"/>
    </xf>
    <xf numFmtId="10" fontId="7" fillId="0" borderId="45" xfId="0" applyNumberFormat="1" applyFont="1" applyBorder="1" applyAlignment="1">
      <alignment horizontal="center"/>
    </xf>
    <xf numFmtId="164" fontId="2" fillId="2" borderId="12" xfId="0" applyNumberFormat="1" applyFont="1" applyFill="1" applyBorder="1" applyAlignment="1">
      <alignment horizontal="left"/>
    </xf>
    <xf numFmtId="164" fontId="2" fillId="2" borderId="48" xfId="0" applyNumberFormat="1" applyFont="1" applyFill="1" applyBorder="1" applyAlignment="1">
      <alignment horizontal="left"/>
    </xf>
    <xf numFmtId="164" fontId="6" fillId="3" borderId="40" xfId="0" applyNumberFormat="1" applyFont="1" applyFill="1" applyBorder="1" applyAlignment="1">
      <alignment horizontal="center"/>
    </xf>
    <xf numFmtId="164" fontId="6" fillId="3" borderId="41" xfId="0" applyNumberFormat="1" applyFont="1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3" fillId="3" borderId="51" xfId="0" applyNumberFormat="1" applyFont="1" applyFill="1" applyBorder="1" applyAlignment="1">
      <alignment horizontal="center"/>
    </xf>
    <xf numFmtId="164" fontId="3" fillId="3" borderId="6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52"/>
  <sheetViews>
    <sheetView tabSelected="1" topLeftCell="A44" workbookViewId="0">
      <selection activeCell="A53" sqref="A53"/>
    </sheetView>
  </sheetViews>
  <sheetFormatPr baseColWidth="10" defaultColWidth="11.44140625" defaultRowHeight="13.2"/>
  <cols>
    <col min="1" max="1" width="5.6640625" style="157" customWidth="1"/>
    <col min="2" max="2" width="11.44140625" style="158"/>
    <col min="3" max="3" width="15.44140625" style="158" customWidth="1"/>
    <col min="4" max="4" width="11.44140625" style="157"/>
    <col min="5" max="5" width="8.6640625" style="157" customWidth="1"/>
    <col min="6" max="6" width="11.44140625" style="157" customWidth="1"/>
    <col min="7" max="8" width="12.6640625" style="157" customWidth="1"/>
    <col min="9" max="9" width="12.6640625" style="159" customWidth="1"/>
    <col min="10" max="10" width="10.6640625" style="157" customWidth="1"/>
    <col min="11" max="16384" width="11.44140625" style="157"/>
  </cols>
  <sheetData>
    <row r="1" spans="1:57" s="150" customFormat="1" ht="20.399999999999999">
      <c r="A1" s="149" t="s">
        <v>81</v>
      </c>
      <c r="N1" s="151"/>
    </row>
    <row r="2" spans="1:57" s="150" customFormat="1">
      <c r="A2" s="149"/>
      <c r="N2" s="151"/>
    </row>
    <row r="3" spans="1:57" s="153" customFormat="1" ht="17.100000000000001" customHeight="1">
      <c r="A3" s="152" t="s">
        <v>120</v>
      </c>
      <c r="N3" s="154"/>
    </row>
    <row r="4" spans="1:57" s="153" customFormat="1" ht="17.100000000000001" customHeight="1">
      <c r="A4" s="153" t="s">
        <v>42</v>
      </c>
      <c r="N4" s="154"/>
    </row>
    <row r="5" spans="1:57" s="153" customFormat="1" ht="17.100000000000001" customHeight="1">
      <c r="A5" s="152" t="s">
        <v>123</v>
      </c>
      <c r="N5" s="154"/>
    </row>
    <row r="6" spans="1:57" s="153" customFormat="1" ht="17.100000000000001" customHeight="1">
      <c r="A6" s="227" t="s">
        <v>80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</row>
    <row r="7" spans="1:57" s="153" customFormat="1" ht="17.100000000000001" customHeight="1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1:57" s="153" customFormat="1" ht="17.100000000000001" customHeight="1">
      <c r="A8" s="227" t="s">
        <v>82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</row>
    <row r="9" spans="1:57" s="153" customFormat="1" ht="17.100000000000001" customHeight="1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</row>
    <row r="10" spans="1:57" s="153" customFormat="1" ht="17.100000000000001" customHeight="1">
      <c r="A10" s="152" t="s">
        <v>122</v>
      </c>
      <c r="N10" s="154"/>
    </row>
    <row r="11" spans="1:57" s="155" customFormat="1" ht="17.100000000000001" customHeight="1">
      <c r="A11" s="155" t="s">
        <v>41</v>
      </c>
      <c r="C11" s="156"/>
    </row>
    <row r="12" spans="1:57" ht="13.8" thickBot="1"/>
    <row r="13" spans="1:57" ht="13.8" thickBot="1">
      <c r="B13" s="229" t="s">
        <v>97</v>
      </c>
      <c r="C13" s="230"/>
      <c r="D13" s="231" t="s">
        <v>96</v>
      </c>
      <c r="E13" s="232"/>
      <c r="F13" s="233"/>
      <c r="G13" s="160"/>
      <c r="BA13" s="157" t="s">
        <v>96</v>
      </c>
      <c r="BE13" s="157" t="s">
        <v>109</v>
      </c>
    </row>
    <row r="14" spans="1:57" ht="13.8" thickBot="1">
      <c r="BA14" s="161" t="s">
        <v>115</v>
      </c>
      <c r="BE14" s="161" t="s">
        <v>117</v>
      </c>
    </row>
    <row r="15" spans="1:57">
      <c r="B15" s="234" t="s">
        <v>16</v>
      </c>
      <c r="C15" s="235"/>
      <c r="D15" s="142">
        <v>24000</v>
      </c>
      <c r="G15" s="236" t="s">
        <v>94</v>
      </c>
      <c r="H15" s="237"/>
      <c r="I15" s="238"/>
      <c r="K15" s="239" t="s">
        <v>56</v>
      </c>
      <c r="L15" s="240"/>
      <c r="M15" s="243" t="s">
        <v>50</v>
      </c>
      <c r="N15" s="244"/>
      <c r="O15" s="245"/>
      <c r="BA15" s="161" t="s">
        <v>116</v>
      </c>
      <c r="BE15" s="161" t="s">
        <v>118</v>
      </c>
    </row>
    <row r="16" spans="1:57" ht="13.8" thickBot="1">
      <c r="B16" s="246" t="s">
        <v>86</v>
      </c>
      <c r="C16" s="247"/>
      <c r="D16" s="143">
        <v>0</v>
      </c>
      <c r="G16" s="164" t="s">
        <v>4</v>
      </c>
      <c r="H16" s="165" t="s">
        <v>5</v>
      </c>
      <c r="I16" s="166" t="s">
        <v>73</v>
      </c>
      <c r="K16" s="241"/>
      <c r="L16" s="242"/>
      <c r="M16" s="167">
        <v>0</v>
      </c>
      <c r="N16" s="167">
        <v>1</v>
      </c>
      <c r="O16" s="166" t="s">
        <v>51</v>
      </c>
      <c r="BA16" s="157" t="s">
        <v>99</v>
      </c>
      <c r="BE16" s="161" t="s">
        <v>119</v>
      </c>
    </row>
    <row r="17" spans="2:53" ht="13.5" customHeight="1" thickBot="1">
      <c r="B17" s="254" t="s">
        <v>87</v>
      </c>
      <c r="C17" s="255"/>
      <c r="D17" s="144">
        <v>0</v>
      </c>
      <c r="G17" s="168">
        <v>0</v>
      </c>
      <c r="H17" s="169">
        <v>12450</v>
      </c>
      <c r="I17" s="170">
        <f>19%/2</f>
        <v>9.5000000000000001E-2</v>
      </c>
      <c r="K17" s="256" t="s">
        <v>52</v>
      </c>
      <c r="L17" s="257"/>
      <c r="M17" s="258" t="s">
        <v>53</v>
      </c>
      <c r="N17" s="258">
        <v>13662</v>
      </c>
      <c r="O17" s="259">
        <v>15617</v>
      </c>
      <c r="BA17" s="157" t="s">
        <v>100</v>
      </c>
    </row>
    <row r="18" spans="2:53" ht="13.8" thickBot="1">
      <c r="B18" s="157"/>
      <c r="C18" s="157"/>
      <c r="G18" s="171">
        <v>12450</v>
      </c>
      <c r="H18" s="172">
        <v>20200</v>
      </c>
      <c r="I18" s="173">
        <f>24%/2</f>
        <v>0.12</v>
      </c>
      <c r="K18" s="250"/>
      <c r="L18" s="251"/>
      <c r="M18" s="252"/>
      <c r="N18" s="252"/>
      <c r="O18" s="253"/>
      <c r="BA18" s="157" t="s">
        <v>110</v>
      </c>
    </row>
    <row r="19" spans="2:53" ht="13.5" customHeight="1" thickBot="1">
      <c r="B19" s="248" t="s">
        <v>9</v>
      </c>
      <c r="C19" s="249"/>
      <c r="D19" s="174">
        <f>SUM(D15:D16)</f>
        <v>24000</v>
      </c>
      <c r="G19" s="171">
        <v>20200</v>
      </c>
      <c r="H19" s="172">
        <v>35200</v>
      </c>
      <c r="I19" s="173">
        <f>30%/2</f>
        <v>0.15</v>
      </c>
      <c r="K19" s="250" t="s">
        <v>55</v>
      </c>
      <c r="L19" s="251"/>
      <c r="M19" s="252">
        <v>13335</v>
      </c>
      <c r="N19" s="252">
        <v>14774</v>
      </c>
      <c r="O19" s="253">
        <v>16952</v>
      </c>
      <c r="BA19" s="157" t="s">
        <v>111</v>
      </c>
    </row>
    <row r="20" spans="2:53" ht="13.8" thickBot="1">
      <c r="G20" s="171">
        <v>35200</v>
      </c>
      <c r="H20" s="172">
        <v>60000</v>
      </c>
      <c r="I20" s="173">
        <f>37%/2</f>
        <v>0.185</v>
      </c>
      <c r="J20" s="175"/>
      <c r="K20" s="250"/>
      <c r="L20" s="251"/>
      <c r="M20" s="252"/>
      <c r="N20" s="252"/>
      <c r="O20" s="253"/>
      <c r="BA20" s="157" t="s">
        <v>101</v>
      </c>
    </row>
    <row r="21" spans="2:53" ht="13.8" thickBot="1">
      <c r="B21" s="234" t="s">
        <v>10</v>
      </c>
      <c r="C21" s="235"/>
      <c r="D21" s="176">
        <f>5550+Ayuda!D6</f>
        <v>5550</v>
      </c>
      <c r="G21" s="177">
        <v>60000</v>
      </c>
      <c r="H21" s="178"/>
      <c r="I21" s="179">
        <f>45%/2</f>
        <v>0.22500000000000001</v>
      </c>
      <c r="K21" s="250" t="s">
        <v>54</v>
      </c>
      <c r="L21" s="251"/>
      <c r="M21" s="252">
        <v>11162</v>
      </c>
      <c r="N21" s="252">
        <v>11888</v>
      </c>
      <c r="O21" s="253">
        <v>12519</v>
      </c>
      <c r="BA21" s="157" t="s">
        <v>112</v>
      </c>
    </row>
    <row r="22" spans="2:53" ht="13.8" thickBot="1">
      <c r="B22" s="246" t="s">
        <v>11</v>
      </c>
      <c r="C22" s="247"/>
      <c r="D22" s="180">
        <f>Ayuda!D13</f>
        <v>2550</v>
      </c>
      <c r="I22" s="157"/>
      <c r="K22" s="260"/>
      <c r="L22" s="261"/>
      <c r="M22" s="262"/>
      <c r="N22" s="262"/>
      <c r="O22" s="263"/>
      <c r="BA22" s="157" t="s">
        <v>113</v>
      </c>
    </row>
    <row r="23" spans="2:53" ht="13.8" thickBot="1">
      <c r="B23" s="246" t="s">
        <v>12</v>
      </c>
      <c r="C23" s="247"/>
      <c r="D23" s="180">
        <f>Ayuda!D24</f>
        <v>0</v>
      </c>
      <c r="H23" s="181" t="s">
        <v>93</v>
      </c>
      <c r="I23" s="182" t="s">
        <v>95</v>
      </c>
      <c r="BA23" s="157" t="s">
        <v>108</v>
      </c>
    </row>
    <row r="24" spans="2:53" ht="13.8" thickBot="1">
      <c r="B24" s="246" t="s">
        <v>40</v>
      </c>
      <c r="C24" s="247"/>
      <c r="D24" s="180">
        <f>Ayuda!D32</f>
        <v>0</v>
      </c>
      <c r="G24" s="264" t="s">
        <v>13</v>
      </c>
      <c r="H24" s="265"/>
      <c r="I24" s="266"/>
      <c r="BA24" s="157" t="s">
        <v>107</v>
      </c>
    </row>
    <row r="25" spans="2:53" ht="13.8" thickBot="1">
      <c r="B25" s="267"/>
      <c r="C25" s="268"/>
      <c r="D25" s="183"/>
      <c r="G25" s="184">
        <f>F26-F27</f>
        <v>8100</v>
      </c>
      <c r="H25" s="185">
        <f>G25*I17</f>
        <v>769.5</v>
      </c>
      <c r="I25" s="157"/>
      <c r="K25" s="269" t="s">
        <v>57</v>
      </c>
      <c r="L25" s="270"/>
      <c r="M25" s="270"/>
      <c r="N25" s="270"/>
      <c r="O25" s="162" t="s">
        <v>59</v>
      </c>
      <c r="P25" s="163" t="s">
        <v>58</v>
      </c>
      <c r="BA25" s="157" t="s">
        <v>102</v>
      </c>
    </row>
    <row r="26" spans="2:53" ht="13.8" thickBot="1">
      <c r="B26" s="248" t="s">
        <v>43</v>
      </c>
      <c r="C26" s="249"/>
      <c r="D26" s="174">
        <f>SUM(D21:D24)</f>
        <v>8100</v>
      </c>
      <c r="F26" s="157">
        <f>IF((D$26-G17)&lt;0,0,(D$26-G17))</f>
        <v>8100</v>
      </c>
      <c r="G26" s="186">
        <f>F27-F28</f>
        <v>0</v>
      </c>
      <c r="H26" s="187">
        <f>G26*I18</f>
        <v>0</v>
      </c>
      <c r="I26" s="157"/>
      <c r="K26" s="271"/>
      <c r="L26" s="272"/>
      <c r="M26" s="272"/>
      <c r="N26" s="272"/>
      <c r="O26" s="165" t="s">
        <v>67</v>
      </c>
      <c r="P26" s="188" t="s">
        <v>67</v>
      </c>
      <c r="BA26" s="157" t="s">
        <v>104</v>
      </c>
    </row>
    <row r="27" spans="2:53" ht="13.8" thickBot="1">
      <c r="F27" s="157">
        <f>IF((D$26-G18)&lt;0,0,(D$26-G18))</f>
        <v>0</v>
      </c>
      <c r="G27" s="186">
        <f>F28-F29</f>
        <v>0</v>
      </c>
      <c r="H27" s="187">
        <f>G27*I19</f>
        <v>0</v>
      </c>
      <c r="I27" s="157"/>
      <c r="K27" s="273" t="s">
        <v>60</v>
      </c>
      <c r="L27" s="274"/>
      <c r="M27" s="274"/>
      <c r="N27" s="274"/>
      <c r="O27" s="189">
        <v>1199.0999999999999</v>
      </c>
      <c r="P27" s="190">
        <v>3751.2</v>
      </c>
      <c r="BA27" s="157" t="s">
        <v>106</v>
      </c>
    </row>
    <row r="28" spans="2:53">
      <c r="B28" s="234" t="s">
        <v>19</v>
      </c>
      <c r="C28" s="235"/>
      <c r="D28" s="176">
        <f>2000</f>
        <v>2000</v>
      </c>
      <c r="F28" s="157">
        <f>IF((D$26-G19)&lt;0,0,(D$26-G19))</f>
        <v>0</v>
      </c>
      <c r="G28" s="186">
        <f>F29-F30</f>
        <v>0</v>
      </c>
      <c r="H28" s="187">
        <f>G28*I20</f>
        <v>0</v>
      </c>
      <c r="I28" s="157"/>
      <c r="K28" s="191" t="s">
        <v>61</v>
      </c>
      <c r="L28" s="192"/>
      <c r="M28" s="192"/>
      <c r="N28" s="192"/>
      <c r="O28" s="193">
        <v>994.2</v>
      </c>
      <c r="P28" s="194">
        <v>3751.2</v>
      </c>
      <c r="BA28" s="157" t="s">
        <v>103</v>
      </c>
    </row>
    <row r="29" spans="2:53" ht="13.8" thickBot="1">
      <c r="B29" s="246" t="s">
        <v>1</v>
      </c>
      <c r="C29" s="247"/>
      <c r="D29" s="187">
        <f>IF((D19+D17)&lt;12*P38,IF((D19+D17)&gt;12*O38,(D36)*(D19+D17),D36*12*O38),(D36)*12*P38)</f>
        <v>1524</v>
      </c>
      <c r="F29" s="157">
        <f>IF((D$26-G20)&lt;0,0,(D$26-G20))</f>
        <v>0</v>
      </c>
      <c r="G29" s="186">
        <f>F30</f>
        <v>0</v>
      </c>
      <c r="H29" s="187">
        <f>G29*I21</f>
        <v>0</v>
      </c>
      <c r="K29" s="275" t="s">
        <v>62</v>
      </c>
      <c r="L29" s="276"/>
      <c r="M29" s="276"/>
      <c r="N29" s="276"/>
      <c r="O29" s="193">
        <v>864.9</v>
      </c>
      <c r="P29" s="194">
        <v>3751.2</v>
      </c>
      <c r="BA29" s="157" t="s">
        <v>105</v>
      </c>
    </row>
    <row r="30" spans="2:53" ht="13.8" thickBot="1">
      <c r="B30" s="246" t="s">
        <v>20</v>
      </c>
      <c r="C30" s="247"/>
      <c r="D30" s="180">
        <f>Ayuda!D46</f>
        <v>0</v>
      </c>
      <c r="F30" s="157">
        <f>IF((D$26-G21)&lt;0,0,(D$26-G21))</f>
        <v>0</v>
      </c>
      <c r="G30" s="195" t="s">
        <v>0</v>
      </c>
      <c r="H30" s="196">
        <f>SUM(H25:H29)</f>
        <v>769.5</v>
      </c>
      <c r="I30" s="197">
        <f>'Tramos Autonomicos'!A49</f>
        <v>769.5</v>
      </c>
      <c r="K30" s="275" t="s">
        <v>63</v>
      </c>
      <c r="L30" s="276"/>
      <c r="M30" s="276"/>
      <c r="N30" s="276"/>
      <c r="O30" s="193">
        <v>858.6</v>
      </c>
      <c r="P30" s="194">
        <v>3751.2</v>
      </c>
      <c r="BA30" s="161" t="s">
        <v>114</v>
      </c>
    </row>
    <row r="31" spans="2:53" ht="13.8" thickBot="1">
      <c r="B31" s="267"/>
      <c r="C31" s="268"/>
      <c r="D31" s="183"/>
      <c r="I31" s="157"/>
      <c r="K31" s="275" t="s">
        <v>64</v>
      </c>
      <c r="L31" s="276"/>
      <c r="M31" s="276"/>
      <c r="N31" s="276"/>
      <c r="O31" s="193">
        <v>858.6</v>
      </c>
      <c r="P31" s="194">
        <v>3751.2</v>
      </c>
      <c r="BA31" s="157" t="s">
        <v>98</v>
      </c>
    </row>
    <row r="32" spans="2:53" ht="13.8" thickBot="1">
      <c r="B32" s="277" t="s">
        <v>2</v>
      </c>
      <c r="C32" s="278"/>
      <c r="D32" s="198">
        <f>SUM(D28:D30)</f>
        <v>3524</v>
      </c>
      <c r="H32" s="181" t="s">
        <v>93</v>
      </c>
      <c r="I32" s="182" t="s">
        <v>95</v>
      </c>
      <c r="K32" s="275" t="s">
        <v>65</v>
      </c>
      <c r="L32" s="276"/>
      <c r="M32" s="276"/>
      <c r="N32" s="276"/>
      <c r="O32" s="193">
        <v>858.6</v>
      </c>
      <c r="P32" s="194">
        <v>3751.2</v>
      </c>
    </row>
    <row r="33" spans="1:16" ht="13.8" thickBot="1">
      <c r="B33" s="279" t="s">
        <v>3</v>
      </c>
      <c r="C33" s="280"/>
      <c r="D33" s="196">
        <f>D19-D32</f>
        <v>20476</v>
      </c>
      <c r="G33" s="264" t="s">
        <v>14</v>
      </c>
      <c r="H33" s="265"/>
      <c r="I33" s="266"/>
      <c r="K33" s="281" t="s">
        <v>66</v>
      </c>
      <c r="L33" s="282"/>
      <c r="M33" s="282"/>
      <c r="N33" s="282"/>
      <c r="O33" s="199">
        <v>858.6</v>
      </c>
      <c r="P33" s="200">
        <v>3751.2</v>
      </c>
    </row>
    <row r="34" spans="1:16" ht="13.8" thickBot="1">
      <c r="G34" s="201">
        <f>F35-F36</f>
        <v>12450</v>
      </c>
      <c r="H34" s="198">
        <f>G34*I17</f>
        <v>1182.75</v>
      </c>
      <c r="I34" s="157"/>
    </row>
    <row r="35" spans="1:16" ht="13.8" thickBot="1">
      <c r="B35" s="234" t="s">
        <v>6</v>
      </c>
      <c r="C35" s="235"/>
      <c r="D35" s="202">
        <f>I43</f>
        <v>0.1153875</v>
      </c>
      <c r="F35" s="157">
        <f>IF((D$33-G17)&lt;0,0,(D$33-G17))</f>
        <v>20476</v>
      </c>
      <c r="G35" s="186">
        <f>F36-F37</f>
        <v>7750</v>
      </c>
      <c r="H35" s="187">
        <f>G35*I18</f>
        <v>930</v>
      </c>
      <c r="I35" s="157"/>
    </row>
    <row r="36" spans="1:16" ht="13.5" customHeight="1">
      <c r="B36" s="246" t="s">
        <v>83</v>
      </c>
      <c r="C36" s="247"/>
      <c r="D36" s="173">
        <f>P43</f>
        <v>6.3500000000000001E-2</v>
      </c>
      <c r="F36" s="157">
        <f>IF((D$33-G18)&lt;0,0,(D$33-G18))</f>
        <v>8026</v>
      </c>
      <c r="G36" s="186">
        <f>F37-F38</f>
        <v>276</v>
      </c>
      <c r="H36" s="187">
        <f>G36*I19</f>
        <v>41.4</v>
      </c>
      <c r="I36" s="203"/>
      <c r="K36" s="283" t="s">
        <v>72</v>
      </c>
      <c r="L36" s="284"/>
      <c r="M36" s="284"/>
      <c r="N36" s="284"/>
      <c r="O36" s="162" t="s">
        <v>59</v>
      </c>
      <c r="P36" s="163" t="s">
        <v>58</v>
      </c>
    </row>
    <row r="37" spans="1:16" ht="13.8" thickBot="1">
      <c r="B37" s="267"/>
      <c r="C37" s="268"/>
      <c r="D37" s="204"/>
      <c r="F37" s="157">
        <f>IF((D$33-G19)&lt;0,0,(D$33-G19))</f>
        <v>276</v>
      </c>
      <c r="G37" s="186">
        <f>F38-F39</f>
        <v>0</v>
      </c>
      <c r="H37" s="187">
        <f>G37*I20</f>
        <v>0</v>
      </c>
      <c r="K37" s="285"/>
      <c r="L37" s="286"/>
      <c r="M37" s="286"/>
      <c r="N37" s="286"/>
      <c r="O37" s="165" t="s">
        <v>67</v>
      </c>
      <c r="P37" s="188" t="s">
        <v>67</v>
      </c>
    </row>
    <row r="38" spans="1:16" ht="13.8" thickBot="1">
      <c r="B38" s="248" t="s">
        <v>7</v>
      </c>
      <c r="C38" s="249"/>
      <c r="D38" s="205">
        <f>SUM(D35:D36)</f>
        <v>0.1788875</v>
      </c>
      <c r="F38" s="157">
        <f>IF((D$33-G20)&lt;0,0,(D$33-G20))</f>
        <v>0</v>
      </c>
      <c r="G38" s="186">
        <f>F39</f>
        <v>0</v>
      </c>
      <c r="H38" s="187">
        <f>G38*I21</f>
        <v>0</v>
      </c>
      <c r="K38" s="287"/>
      <c r="L38" s="288"/>
      <c r="M38" s="288"/>
      <c r="N38" s="289"/>
      <c r="O38" s="145">
        <v>1199.0999999999999</v>
      </c>
      <c r="P38" s="146">
        <v>3751.2</v>
      </c>
    </row>
    <row r="39" spans="1:16" ht="13.8" thickBot="1">
      <c r="F39" s="157">
        <f>IF((D$33-G21)&lt;0,0,(D$33-G21))</f>
        <v>0</v>
      </c>
      <c r="G39" s="195" t="s">
        <v>0</v>
      </c>
      <c r="H39" s="196">
        <f>SUM(H34:H38)</f>
        <v>2154.15</v>
      </c>
      <c r="I39" s="197">
        <f>'Tramos Autonomicos'!A50</f>
        <v>2154.15</v>
      </c>
    </row>
    <row r="40" spans="1:16" ht="13.8" thickBot="1">
      <c r="B40" s="234" t="s">
        <v>18</v>
      </c>
      <c r="C40" s="235"/>
      <c r="D40" s="206">
        <f>IF(D42=D17,((1-F43)*D15)/12,((1-D38)*D15)/12)</f>
        <v>1642.2250000000001</v>
      </c>
    </row>
    <row r="41" spans="1:16" ht="13.8" thickBot="1">
      <c r="B41" s="246" t="s">
        <v>91</v>
      </c>
      <c r="C41" s="247"/>
      <c r="D41" s="207">
        <f>IF(D42=D17,((1-F43)*D16),((1-D38)*D16))</f>
        <v>0</v>
      </c>
      <c r="K41" s="236" t="s">
        <v>71</v>
      </c>
      <c r="L41" s="237"/>
      <c r="M41" s="237"/>
      <c r="N41" s="237"/>
      <c r="O41" s="237"/>
      <c r="P41" s="238"/>
    </row>
    <row r="42" spans="1:16" ht="13.8" thickBot="1">
      <c r="B42" s="246" t="s">
        <v>92</v>
      </c>
      <c r="C42" s="247"/>
      <c r="D42" s="207">
        <f>IF(((12*P38)-(D19+D17))&gt;0,D17*(1-D36),(IF(((12*P38)-D19)&gt;0,(((12*P38)-D19)*(1-D36))+(D17-((12*P38)-D19)),D17)))</f>
        <v>0</v>
      </c>
      <c r="F42" s="157">
        <f>D29+H43</f>
        <v>4293.3</v>
      </c>
      <c r="G42" s="290" t="s">
        <v>17</v>
      </c>
      <c r="H42" s="291"/>
      <c r="I42" s="208" t="s">
        <v>6</v>
      </c>
      <c r="K42" s="292" t="s">
        <v>68</v>
      </c>
      <c r="L42" s="293"/>
      <c r="M42" s="294" t="s">
        <v>70</v>
      </c>
      <c r="N42" s="293"/>
      <c r="O42" s="165" t="s">
        <v>69</v>
      </c>
      <c r="P42" s="188" t="s">
        <v>0</v>
      </c>
    </row>
    <row r="43" spans="1:16" ht="13.8" thickBot="1">
      <c r="B43" s="246" t="s">
        <v>84</v>
      </c>
      <c r="C43" s="247"/>
      <c r="D43" s="147">
        <f>0</f>
        <v>0</v>
      </c>
      <c r="F43" s="209">
        <f>F42/D19</f>
        <v>0.1788875</v>
      </c>
      <c r="G43" s="210" t="s">
        <v>0</v>
      </c>
      <c r="H43" s="211">
        <f>(H39+I39)-(H30+I30)</f>
        <v>2769.3</v>
      </c>
      <c r="I43" s="212">
        <f>IF(H43&gt;0,(H43/D19),0)</f>
        <v>0.1153875</v>
      </c>
      <c r="K43" s="295">
        <v>4.7E-2</v>
      </c>
      <c r="L43" s="296"/>
      <c r="M43" s="297">
        <v>1.55E-2</v>
      </c>
      <c r="N43" s="296"/>
      <c r="O43" s="148">
        <v>1E-3</v>
      </c>
      <c r="P43" s="213">
        <f>SUM(K43:O43)</f>
        <v>6.3500000000000001E-2</v>
      </c>
    </row>
    <row r="44" spans="1:16" ht="13.8" thickBot="1">
      <c r="B44" s="298"/>
      <c r="C44" s="299"/>
      <c r="D44" s="214"/>
      <c r="I44" s="157"/>
    </row>
    <row r="45" spans="1:16" ht="13.8" thickBot="1">
      <c r="B45" s="300" t="s">
        <v>8</v>
      </c>
      <c r="C45" s="301"/>
      <c r="D45" s="215">
        <f>12*D40+D41+D42+D43</f>
        <v>19706.7</v>
      </c>
      <c r="I45" s="157"/>
    </row>
    <row r="46" spans="1:16">
      <c r="C46" s="216"/>
      <c r="D46" s="217"/>
      <c r="I46" s="157"/>
    </row>
    <row r="47" spans="1:16">
      <c r="C47" s="216"/>
      <c r="D47" s="217"/>
      <c r="I47" s="157"/>
    </row>
    <row r="48" spans="1:16" s="220" customFormat="1" ht="17.100000000000001" customHeight="1">
      <c r="A48" s="218" t="s">
        <v>88</v>
      </c>
      <c r="B48" s="219"/>
      <c r="C48" s="219"/>
      <c r="D48" s="219"/>
      <c r="E48" s="219"/>
      <c r="F48" s="219"/>
    </row>
    <row r="49" spans="1:6" s="220" customFormat="1" ht="17.100000000000001" customHeight="1">
      <c r="A49" s="218"/>
      <c r="B49" s="221" t="s">
        <v>89</v>
      </c>
      <c r="C49" s="219"/>
      <c r="D49" s="219"/>
      <c r="E49" s="219"/>
      <c r="F49" s="219"/>
    </row>
    <row r="50" spans="1:6" s="220" customFormat="1" ht="17.100000000000001" customHeight="1">
      <c r="A50" s="218" t="s">
        <v>90</v>
      </c>
      <c r="B50" s="221"/>
      <c r="C50" s="219"/>
      <c r="D50" s="219"/>
      <c r="E50" s="219"/>
      <c r="F50" s="219"/>
    </row>
    <row r="51" spans="1:6" s="220" customFormat="1" ht="17.100000000000001" customHeight="1">
      <c r="A51" s="218" t="s">
        <v>85</v>
      </c>
      <c r="B51" s="219"/>
      <c r="C51" s="219"/>
      <c r="D51" s="219"/>
      <c r="E51" s="219"/>
      <c r="F51" s="219"/>
    </row>
    <row r="52" spans="1:6" s="220" customFormat="1" ht="17.100000000000001" customHeight="1">
      <c r="A52" s="218" t="s">
        <v>124</v>
      </c>
      <c r="B52" s="219"/>
      <c r="C52" s="219"/>
      <c r="D52" s="219"/>
      <c r="E52" s="219"/>
      <c r="F52" s="219"/>
    </row>
  </sheetData>
  <sheetProtection password="91BA" sheet="1" formatCells="0" formatColumns="0" formatRows="0" insertColumns="0" insertRows="0" insertHyperlinks="0" deleteColumns="0" deleteRows="0" sort="0" autoFilter="0" pivotTables="0"/>
  <mergeCells count="61">
    <mergeCell ref="B43:C43"/>
    <mergeCell ref="K43:L43"/>
    <mergeCell ref="M43:N43"/>
    <mergeCell ref="B44:C44"/>
    <mergeCell ref="B45:C45"/>
    <mergeCell ref="B41:C41"/>
    <mergeCell ref="K41:P41"/>
    <mergeCell ref="B42:C42"/>
    <mergeCell ref="G42:H42"/>
    <mergeCell ref="K42:L42"/>
    <mergeCell ref="M42:N42"/>
    <mergeCell ref="B40:C40"/>
    <mergeCell ref="B31:C31"/>
    <mergeCell ref="K31:N31"/>
    <mergeCell ref="B32:C32"/>
    <mergeCell ref="K32:N32"/>
    <mergeCell ref="B33:C33"/>
    <mergeCell ref="G33:I33"/>
    <mergeCell ref="K33:N33"/>
    <mergeCell ref="B35:C35"/>
    <mergeCell ref="B36:C36"/>
    <mergeCell ref="K36:N38"/>
    <mergeCell ref="B37:C37"/>
    <mergeCell ref="B38:C38"/>
    <mergeCell ref="K27:N27"/>
    <mergeCell ref="B28:C28"/>
    <mergeCell ref="B29:C29"/>
    <mergeCell ref="K29:N29"/>
    <mergeCell ref="B30:C30"/>
    <mergeCell ref="K30:N30"/>
    <mergeCell ref="B23:C23"/>
    <mergeCell ref="B24:C24"/>
    <mergeCell ref="G24:I24"/>
    <mergeCell ref="B25:C25"/>
    <mergeCell ref="K25:N26"/>
    <mergeCell ref="B26:C26"/>
    <mergeCell ref="B21:C21"/>
    <mergeCell ref="K21:L22"/>
    <mergeCell ref="M21:M22"/>
    <mergeCell ref="N21:N22"/>
    <mergeCell ref="O21:O22"/>
    <mergeCell ref="B22:C22"/>
    <mergeCell ref="B17:C17"/>
    <mergeCell ref="K17:L18"/>
    <mergeCell ref="M17:M18"/>
    <mergeCell ref="N17:N18"/>
    <mergeCell ref="O17:O18"/>
    <mergeCell ref="B19:C19"/>
    <mergeCell ref="K19:L20"/>
    <mergeCell ref="M19:M20"/>
    <mergeCell ref="N19:N20"/>
    <mergeCell ref="O19:O20"/>
    <mergeCell ref="A6:O7"/>
    <mergeCell ref="A8:O9"/>
    <mergeCell ref="B13:C13"/>
    <mergeCell ref="D13:F13"/>
    <mergeCell ref="B15:C15"/>
    <mergeCell ref="G15:I15"/>
    <mergeCell ref="K15:L16"/>
    <mergeCell ref="M15:O15"/>
    <mergeCell ref="B16:C16"/>
  </mergeCells>
  <dataValidations count="1">
    <dataValidation type="list" allowBlank="1" showInputMessage="1" showErrorMessage="1" sqref="D13:F13">
      <formula1>$BA$13:$BA$31</formula1>
    </dataValidation>
  </dataValidations>
  <pageMargins left="0.75" right="0.75" top="1" bottom="1" header="0" footer="0"/>
  <pageSetup paperSize="9" orientation="landscape" r:id="rId1"/>
  <headerFooter alignWithMargins="0"/>
  <ignoredErrors>
    <ignoredError sqref="D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E38"/>
  <sheetViews>
    <sheetView workbookViewId="0">
      <selection activeCell="A37" sqref="A37"/>
    </sheetView>
  </sheetViews>
  <sheetFormatPr baseColWidth="10" defaultColWidth="11.44140625" defaultRowHeight="13.2"/>
  <cols>
    <col min="1" max="1" width="5.6640625" style="1" customWidth="1"/>
    <col min="2" max="2" width="11.44140625" style="3"/>
    <col min="3" max="3" width="15.44140625" style="3" customWidth="1"/>
    <col min="4" max="4" width="11.44140625" style="1"/>
    <col min="5" max="5" width="8.6640625" style="1" customWidth="1"/>
    <col min="6" max="6" width="11.44140625" style="1" customWidth="1"/>
    <col min="7" max="8" width="12.6640625" style="1" customWidth="1"/>
    <col min="9" max="9" width="12.6640625" style="2" customWidth="1"/>
    <col min="10" max="10" width="10.6640625" style="1" customWidth="1"/>
    <col min="11" max="16384" width="11.44140625" style="1"/>
  </cols>
  <sheetData>
    <row r="1" spans="1:57" s="140" customFormat="1">
      <c r="A1" s="139"/>
      <c r="N1" s="141"/>
    </row>
    <row r="2" spans="1:57" s="140" customFormat="1">
      <c r="A2" s="139"/>
      <c r="N2" s="141"/>
    </row>
    <row r="3" spans="1:57" ht="13.8" thickBot="1"/>
    <row r="4" spans="1:57" ht="13.8" thickBot="1">
      <c r="B4" s="307" t="s">
        <v>97</v>
      </c>
      <c r="C4" s="308"/>
      <c r="D4" s="309" t="str">
        <f>'2018 (12 Pagas)'!D13:F13</f>
        <v>GENERAL</v>
      </c>
      <c r="E4" s="310"/>
      <c r="F4" s="311"/>
      <c r="G4" s="102"/>
      <c r="BA4" s="1" t="s">
        <v>96</v>
      </c>
      <c r="BE4" s="1" t="s">
        <v>109</v>
      </c>
    </row>
    <row r="5" spans="1:57" ht="13.8" thickBot="1">
      <c r="BA5" s="133" t="s">
        <v>115</v>
      </c>
      <c r="BE5" s="133" t="s">
        <v>117</v>
      </c>
    </row>
    <row r="6" spans="1:57">
      <c r="B6" s="312" t="s">
        <v>16</v>
      </c>
      <c r="C6" s="313"/>
      <c r="D6" s="47">
        <f>'2018 (12 Pagas)'!D15</f>
        <v>24000</v>
      </c>
      <c r="G6" s="314" t="s">
        <v>94</v>
      </c>
      <c r="H6" s="315"/>
      <c r="I6" s="316"/>
      <c r="K6" s="317" t="s">
        <v>56</v>
      </c>
      <c r="L6" s="318"/>
      <c r="M6" s="302" t="s">
        <v>50</v>
      </c>
      <c r="N6" s="303"/>
      <c r="O6" s="304"/>
      <c r="BA6" s="133" t="s">
        <v>116</v>
      </c>
      <c r="BE6" s="133" t="s">
        <v>118</v>
      </c>
    </row>
    <row r="7" spans="1:57" ht="13.8" thickBot="1">
      <c r="B7" s="305" t="s">
        <v>86</v>
      </c>
      <c r="C7" s="306"/>
      <c r="D7" s="136">
        <f>'2018 (12 Pagas)'!D16</f>
        <v>0</v>
      </c>
      <c r="G7" s="10" t="s">
        <v>4</v>
      </c>
      <c r="H7" s="11" t="s">
        <v>5</v>
      </c>
      <c r="I7" s="63" t="s">
        <v>73</v>
      </c>
      <c r="K7" s="319"/>
      <c r="L7" s="320"/>
      <c r="M7" s="62">
        <v>0</v>
      </c>
      <c r="N7" s="62">
        <v>1</v>
      </c>
      <c r="O7" s="63" t="s">
        <v>51</v>
      </c>
      <c r="BA7" s="1" t="s">
        <v>99</v>
      </c>
      <c r="BE7" s="133" t="s">
        <v>119</v>
      </c>
    </row>
    <row r="8" spans="1:57" ht="13.5" customHeight="1" thickBot="1">
      <c r="B8" s="327" t="s">
        <v>87</v>
      </c>
      <c r="C8" s="328"/>
      <c r="D8" s="137">
        <f>'2018 (12 Pagas)'!D17</f>
        <v>0</v>
      </c>
      <c r="G8" s="19">
        <v>0</v>
      </c>
      <c r="H8" s="20">
        <v>12450</v>
      </c>
      <c r="I8" s="21">
        <f>19%/2</f>
        <v>9.5000000000000001E-2</v>
      </c>
      <c r="K8" s="329" t="s">
        <v>52</v>
      </c>
      <c r="L8" s="330"/>
      <c r="M8" s="331" t="s">
        <v>53</v>
      </c>
      <c r="N8" s="331">
        <v>13662</v>
      </c>
      <c r="O8" s="332">
        <v>15617</v>
      </c>
      <c r="BA8" s="1" t="s">
        <v>100</v>
      </c>
    </row>
    <row r="9" spans="1:57" ht="13.8" thickBot="1">
      <c r="B9" s="1"/>
      <c r="C9" s="1"/>
      <c r="G9" s="22">
        <v>12450</v>
      </c>
      <c r="H9" s="23">
        <v>20200</v>
      </c>
      <c r="I9" s="24">
        <f>24%/2</f>
        <v>0.12</v>
      </c>
      <c r="K9" s="323"/>
      <c r="L9" s="324"/>
      <c r="M9" s="325"/>
      <c r="N9" s="325"/>
      <c r="O9" s="326"/>
      <c r="BA9" s="1" t="s">
        <v>110</v>
      </c>
    </row>
    <row r="10" spans="1:57" ht="13.5" customHeight="1" thickBot="1">
      <c r="B10" s="321" t="s">
        <v>9</v>
      </c>
      <c r="C10" s="322"/>
      <c r="D10" s="33">
        <f>SUM(D6:D7)</f>
        <v>24000</v>
      </c>
      <c r="G10" s="22">
        <v>20200</v>
      </c>
      <c r="H10" s="23">
        <v>35200</v>
      </c>
      <c r="I10" s="24">
        <f>30%/2</f>
        <v>0.15</v>
      </c>
      <c r="K10" s="323" t="s">
        <v>55</v>
      </c>
      <c r="L10" s="324"/>
      <c r="M10" s="325">
        <v>13335</v>
      </c>
      <c r="N10" s="325">
        <v>14774</v>
      </c>
      <c r="O10" s="326">
        <v>16952</v>
      </c>
      <c r="BA10" s="1" t="s">
        <v>111</v>
      </c>
    </row>
    <row r="11" spans="1:57" ht="13.8" thickBot="1">
      <c r="G11" s="22">
        <v>35200</v>
      </c>
      <c r="H11" s="23">
        <v>60000</v>
      </c>
      <c r="I11" s="24">
        <f>37%/2</f>
        <v>0.185</v>
      </c>
      <c r="J11" s="4"/>
      <c r="K11" s="323"/>
      <c r="L11" s="324"/>
      <c r="M11" s="325"/>
      <c r="N11" s="325"/>
      <c r="O11" s="326"/>
      <c r="BA11" s="1" t="s">
        <v>101</v>
      </c>
    </row>
    <row r="12" spans="1:57" ht="13.8" thickBot="1">
      <c r="B12" s="312" t="s">
        <v>10</v>
      </c>
      <c r="C12" s="313"/>
      <c r="D12" s="47">
        <f>5550+Ayuda!D6</f>
        <v>5550</v>
      </c>
      <c r="G12" s="25">
        <v>60000</v>
      </c>
      <c r="H12" s="26"/>
      <c r="I12" s="27">
        <f>45%/2</f>
        <v>0.22500000000000001</v>
      </c>
      <c r="K12" s="323" t="s">
        <v>54</v>
      </c>
      <c r="L12" s="324"/>
      <c r="M12" s="325">
        <v>11162</v>
      </c>
      <c r="N12" s="325">
        <v>11888</v>
      </c>
      <c r="O12" s="326">
        <v>12519</v>
      </c>
      <c r="BA12" s="1" t="s">
        <v>112</v>
      </c>
    </row>
    <row r="13" spans="1:57" ht="13.8" thickBot="1">
      <c r="B13" s="305" t="s">
        <v>11</v>
      </c>
      <c r="C13" s="306"/>
      <c r="D13" s="48">
        <f>Ayuda!D13</f>
        <v>2550</v>
      </c>
      <c r="I13" s="1"/>
      <c r="K13" s="333"/>
      <c r="L13" s="334"/>
      <c r="M13" s="335"/>
      <c r="N13" s="335"/>
      <c r="O13" s="336"/>
      <c r="BA13" s="1" t="s">
        <v>113</v>
      </c>
    </row>
    <row r="14" spans="1:57" ht="13.8" thickBot="1">
      <c r="B14" s="305" t="s">
        <v>12</v>
      </c>
      <c r="C14" s="306"/>
      <c r="D14" s="48">
        <f>Ayuda!D24</f>
        <v>0</v>
      </c>
      <c r="H14" s="94" t="s">
        <v>93</v>
      </c>
      <c r="I14" s="95" t="s">
        <v>95</v>
      </c>
      <c r="BA14" s="1" t="s">
        <v>108</v>
      </c>
    </row>
    <row r="15" spans="1:57" ht="13.8" thickBot="1">
      <c r="B15" s="305" t="s">
        <v>40</v>
      </c>
      <c r="C15" s="306"/>
      <c r="D15" s="48">
        <f>Ayuda!D32</f>
        <v>0</v>
      </c>
      <c r="G15" s="337" t="s">
        <v>13</v>
      </c>
      <c r="H15" s="338"/>
      <c r="I15" s="339"/>
      <c r="BA15" s="1" t="s">
        <v>107</v>
      </c>
    </row>
    <row r="16" spans="1:57" ht="13.8" thickBot="1">
      <c r="B16" s="340"/>
      <c r="C16" s="341"/>
      <c r="D16" s="12"/>
      <c r="G16" s="92">
        <f>F17-F18</f>
        <v>8100</v>
      </c>
      <c r="H16" s="93">
        <f>G16*I8</f>
        <v>769.5</v>
      </c>
      <c r="I16" s="1"/>
      <c r="K16" s="342" t="s">
        <v>57</v>
      </c>
      <c r="L16" s="343"/>
      <c r="M16" s="343"/>
      <c r="N16" s="343"/>
      <c r="O16" s="64" t="s">
        <v>59</v>
      </c>
      <c r="P16" s="65" t="s">
        <v>58</v>
      </c>
      <c r="BA16" s="1" t="s">
        <v>102</v>
      </c>
    </row>
    <row r="17" spans="2:53" ht="13.8" thickBot="1">
      <c r="B17" s="321" t="s">
        <v>43</v>
      </c>
      <c r="C17" s="322"/>
      <c r="D17" s="33">
        <f>SUM(D12:D15)</f>
        <v>8100</v>
      </c>
      <c r="F17" s="1">
        <f>IF((D$17-G8)&lt;0,0,(D$17-G8))</f>
        <v>8100</v>
      </c>
      <c r="G17" s="29">
        <f>F18-F19</f>
        <v>0</v>
      </c>
      <c r="H17" s="13">
        <f>G17*I9</f>
        <v>0</v>
      </c>
      <c r="I17" s="1"/>
      <c r="K17" s="344"/>
      <c r="L17" s="345"/>
      <c r="M17" s="345"/>
      <c r="N17" s="345"/>
      <c r="O17" s="11" t="s">
        <v>67</v>
      </c>
      <c r="P17" s="69" t="s">
        <v>67</v>
      </c>
      <c r="BA17" s="1" t="s">
        <v>104</v>
      </c>
    </row>
    <row r="18" spans="2:53" ht="13.8" thickBot="1">
      <c r="F18" s="1">
        <f>IF((D$17-G9)&lt;0,0,(D$17-G9))</f>
        <v>0</v>
      </c>
      <c r="G18" s="29">
        <f>F19-F20</f>
        <v>0</v>
      </c>
      <c r="H18" s="13">
        <f>G18*I10</f>
        <v>0</v>
      </c>
      <c r="I18" s="1"/>
      <c r="K18" s="346" t="s">
        <v>60</v>
      </c>
      <c r="L18" s="347"/>
      <c r="M18" s="347"/>
      <c r="N18" s="347"/>
      <c r="O18" s="85">
        <f>'2018 (12 Pagas)'!O27</f>
        <v>1199.0999999999999</v>
      </c>
      <c r="P18" s="86">
        <f>'2018 (12 Pagas)'!P27</f>
        <v>3751.2</v>
      </c>
      <c r="BA18" s="1" t="s">
        <v>106</v>
      </c>
    </row>
    <row r="19" spans="2:53">
      <c r="B19" s="312" t="s">
        <v>19</v>
      </c>
      <c r="C19" s="313"/>
      <c r="D19" s="47">
        <f>2000</f>
        <v>2000</v>
      </c>
      <c r="F19" s="1">
        <f>IF((D$17-G10)&lt;0,0,(D$17-G10))</f>
        <v>0</v>
      </c>
      <c r="G19" s="29">
        <f>F20-F21</f>
        <v>0</v>
      </c>
      <c r="H19" s="13">
        <f>G19*I11</f>
        <v>0</v>
      </c>
      <c r="I19" s="1"/>
      <c r="K19" s="67" t="s">
        <v>61</v>
      </c>
      <c r="L19" s="68"/>
      <c r="M19" s="68"/>
      <c r="N19" s="68"/>
      <c r="O19" s="81">
        <f>'2018 (12 Pagas)'!O28</f>
        <v>994.2</v>
      </c>
      <c r="P19" s="82">
        <f>'2018 (12 Pagas)'!P28</f>
        <v>3751.2</v>
      </c>
      <c r="BA19" s="1" t="s">
        <v>103</v>
      </c>
    </row>
    <row r="20" spans="2:53" ht="13.8" thickBot="1">
      <c r="B20" s="305" t="s">
        <v>1</v>
      </c>
      <c r="C20" s="306"/>
      <c r="D20" s="13">
        <f>IF((D10+D8)&lt;12*P29,IF((D10+D8)&gt;12*O29,(D27)*(D10+D8),D27*12*O29),(D27)*12*P29)</f>
        <v>1524</v>
      </c>
      <c r="F20" s="1">
        <f>IF((D$17-G11)&lt;0,0,(D$17-G11))</f>
        <v>0</v>
      </c>
      <c r="G20" s="29">
        <f>F21</f>
        <v>0</v>
      </c>
      <c r="H20" s="13">
        <f>G20*I12</f>
        <v>0</v>
      </c>
      <c r="K20" s="348" t="s">
        <v>62</v>
      </c>
      <c r="L20" s="349"/>
      <c r="M20" s="349"/>
      <c r="N20" s="349"/>
      <c r="O20" s="81">
        <f>'2018 (12 Pagas)'!O29</f>
        <v>864.9</v>
      </c>
      <c r="P20" s="82">
        <f>'2018 (12 Pagas)'!P29</f>
        <v>3751.2</v>
      </c>
      <c r="BA20" s="1" t="s">
        <v>105</v>
      </c>
    </row>
    <row r="21" spans="2:53" ht="13.8" thickBot="1">
      <c r="B21" s="305" t="s">
        <v>20</v>
      </c>
      <c r="C21" s="306"/>
      <c r="D21" s="48">
        <f>Ayuda!D46</f>
        <v>0</v>
      </c>
      <c r="F21" s="1">
        <f>IF((D$17-G12)&lt;0,0,(D$17-G12))</f>
        <v>0</v>
      </c>
      <c r="G21" s="30" t="s">
        <v>0</v>
      </c>
      <c r="H21" s="15">
        <f>SUM(H16:H20)</f>
        <v>769.5</v>
      </c>
      <c r="I21" s="96">
        <f>'Tramos Autonomicos'!A49</f>
        <v>769.5</v>
      </c>
      <c r="K21" s="348" t="s">
        <v>63</v>
      </c>
      <c r="L21" s="349"/>
      <c r="M21" s="349"/>
      <c r="N21" s="349"/>
      <c r="O21" s="81">
        <f>'2018 (12 Pagas)'!O30</f>
        <v>858.6</v>
      </c>
      <c r="P21" s="82">
        <f>'2018 (12 Pagas)'!P30</f>
        <v>3751.2</v>
      </c>
      <c r="BA21" s="133" t="s">
        <v>114</v>
      </c>
    </row>
    <row r="22" spans="2:53" ht="13.8" thickBot="1">
      <c r="B22" s="340"/>
      <c r="C22" s="341"/>
      <c r="D22" s="12"/>
      <c r="I22" s="1"/>
      <c r="K22" s="348" t="s">
        <v>64</v>
      </c>
      <c r="L22" s="349"/>
      <c r="M22" s="349"/>
      <c r="N22" s="349"/>
      <c r="O22" s="81">
        <f>'2018 (12 Pagas)'!O31</f>
        <v>858.6</v>
      </c>
      <c r="P22" s="82">
        <f>'2018 (12 Pagas)'!P31</f>
        <v>3751.2</v>
      </c>
      <c r="BA22" s="1" t="s">
        <v>98</v>
      </c>
    </row>
    <row r="23" spans="2:53" ht="13.8" thickBot="1">
      <c r="B23" s="350" t="s">
        <v>2</v>
      </c>
      <c r="C23" s="351"/>
      <c r="D23" s="14">
        <f>SUM(D19:D21)</f>
        <v>3524</v>
      </c>
      <c r="H23" s="94" t="s">
        <v>93</v>
      </c>
      <c r="I23" s="95" t="s">
        <v>95</v>
      </c>
      <c r="K23" s="348" t="s">
        <v>65</v>
      </c>
      <c r="L23" s="349"/>
      <c r="M23" s="349"/>
      <c r="N23" s="349"/>
      <c r="O23" s="81">
        <f>'2018 (12 Pagas)'!O32</f>
        <v>858.6</v>
      </c>
      <c r="P23" s="82">
        <f>'2018 (12 Pagas)'!P32</f>
        <v>3751.2</v>
      </c>
    </row>
    <row r="24" spans="2:53" ht="13.8" thickBot="1">
      <c r="B24" s="352" t="s">
        <v>3</v>
      </c>
      <c r="C24" s="353"/>
      <c r="D24" s="15">
        <f>D10-D23</f>
        <v>20476</v>
      </c>
      <c r="G24" s="337" t="s">
        <v>14</v>
      </c>
      <c r="H24" s="338"/>
      <c r="I24" s="339"/>
      <c r="K24" s="354" t="s">
        <v>66</v>
      </c>
      <c r="L24" s="355"/>
      <c r="M24" s="355"/>
      <c r="N24" s="355"/>
      <c r="O24" s="83">
        <f>'2018 (12 Pagas)'!O33</f>
        <v>858.6</v>
      </c>
      <c r="P24" s="84">
        <f>'2018 (12 Pagas)'!P33</f>
        <v>3751.2</v>
      </c>
    </row>
    <row r="25" spans="2:53" ht="13.8" thickBot="1">
      <c r="G25" s="28">
        <f>F26-F27</f>
        <v>12450</v>
      </c>
      <c r="H25" s="14">
        <f>G25*I8</f>
        <v>1182.75</v>
      </c>
      <c r="I25" s="1"/>
    </row>
    <row r="26" spans="2:53" ht="13.8" thickBot="1">
      <c r="B26" s="312" t="s">
        <v>6</v>
      </c>
      <c r="C26" s="313"/>
      <c r="D26" s="91">
        <f>I34</f>
        <v>0.1153875</v>
      </c>
      <c r="F26" s="1">
        <f>IF((D$24-G8)&lt;0,0,(D$24-G8))</f>
        <v>20476</v>
      </c>
      <c r="G26" s="29">
        <f>F27-F28</f>
        <v>7750</v>
      </c>
      <c r="H26" s="13">
        <f>G26*I9</f>
        <v>930</v>
      </c>
      <c r="I26" s="1"/>
    </row>
    <row r="27" spans="2:53" ht="13.5" customHeight="1">
      <c r="B27" s="305" t="s">
        <v>83</v>
      </c>
      <c r="C27" s="306"/>
      <c r="D27" s="24">
        <f>P34</f>
        <v>6.3500000000000001E-2</v>
      </c>
      <c r="F27" s="1">
        <f>IF((D$24-G9)&lt;0,0,(D$24-G9))</f>
        <v>8026</v>
      </c>
      <c r="G27" s="29">
        <f>F28-F29</f>
        <v>276</v>
      </c>
      <c r="H27" s="13">
        <f>G27*I10</f>
        <v>41.4</v>
      </c>
      <c r="I27" s="5"/>
      <c r="K27" s="356" t="s">
        <v>72</v>
      </c>
      <c r="L27" s="357"/>
      <c r="M27" s="357"/>
      <c r="N27" s="357"/>
      <c r="O27" s="64" t="s">
        <v>59</v>
      </c>
      <c r="P27" s="65" t="s">
        <v>58</v>
      </c>
    </row>
    <row r="28" spans="2:53" ht="13.8" thickBot="1">
      <c r="B28" s="340"/>
      <c r="C28" s="341"/>
      <c r="D28" s="16"/>
      <c r="F28" s="1">
        <f>IF((D$24-G10)&lt;0,0,(D$24-G10))</f>
        <v>276</v>
      </c>
      <c r="G28" s="29">
        <f>F29-F30</f>
        <v>0</v>
      </c>
      <c r="H28" s="13">
        <f>G28*I11</f>
        <v>0</v>
      </c>
      <c r="K28" s="358"/>
      <c r="L28" s="359"/>
      <c r="M28" s="359"/>
      <c r="N28" s="359"/>
      <c r="O28" s="11" t="s">
        <v>67</v>
      </c>
      <c r="P28" s="69" t="s">
        <v>67</v>
      </c>
    </row>
    <row r="29" spans="2:53" ht="13.8" thickBot="1">
      <c r="B29" s="321" t="s">
        <v>7</v>
      </c>
      <c r="C29" s="322"/>
      <c r="D29" s="34">
        <f>SUM(D26:D27)</f>
        <v>0.1788875</v>
      </c>
      <c r="F29" s="1">
        <f>IF((D$24-G11)&lt;0,0,(D$24-G11))</f>
        <v>0</v>
      </c>
      <c r="G29" s="29">
        <f>F30</f>
        <v>0</v>
      </c>
      <c r="H29" s="13">
        <f>G29*I12</f>
        <v>0</v>
      </c>
      <c r="K29" s="360"/>
      <c r="L29" s="361"/>
      <c r="M29" s="361"/>
      <c r="N29" s="362"/>
      <c r="O29" s="134">
        <f>'2018 (12 Pagas)'!O38</f>
        <v>1199.0999999999999</v>
      </c>
      <c r="P29" s="135">
        <f>'2018 (12 Pagas)'!P38</f>
        <v>3751.2</v>
      </c>
    </row>
    <row r="30" spans="2:53" ht="13.8" thickBot="1">
      <c r="F30" s="1">
        <f>IF((D$24-G12)&lt;0,0,(D$24-G12))</f>
        <v>0</v>
      </c>
      <c r="G30" s="30" t="s">
        <v>0</v>
      </c>
      <c r="H30" s="15">
        <f>SUM(H25:H29)</f>
        <v>2154.15</v>
      </c>
      <c r="I30" s="96">
        <f>'Tramos Autonomicos'!A50</f>
        <v>2154.15</v>
      </c>
    </row>
    <row r="31" spans="2:53" ht="13.8" thickBot="1">
      <c r="B31" s="312" t="s">
        <v>18</v>
      </c>
      <c r="C31" s="313"/>
      <c r="D31" s="17">
        <f>IF(D34=D8,((1-F34)*D6)/14-(1/72)*D20,((1-D29)*D6)/14-(1/72)*D20)</f>
        <v>1386.4547619047619</v>
      </c>
    </row>
    <row r="32" spans="2:53" ht="13.8" thickBot="1">
      <c r="B32" s="305" t="s">
        <v>121</v>
      </c>
      <c r="C32" s="306"/>
      <c r="D32" s="18">
        <f>IF(D34=D8,((1-F34)*D6)/14+(1/12)*D20,((1-D29)*D6)/14+(1/12)*D20)</f>
        <v>1534.6214285714286</v>
      </c>
      <c r="K32" s="314" t="s">
        <v>71</v>
      </c>
      <c r="L32" s="315"/>
      <c r="M32" s="315"/>
      <c r="N32" s="315"/>
      <c r="O32" s="315"/>
      <c r="P32" s="316"/>
    </row>
    <row r="33" spans="2:16" ht="13.8" thickBot="1">
      <c r="B33" s="305" t="s">
        <v>91</v>
      </c>
      <c r="C33" s="306"/>
      <c r="D33" s="18">
        <f>IF(D34=D8,((1-F34)*D7),((1-D29)*D7))</f>
        <v>0</v>
      </c>
      <c r="F33" s="1">
        <f>D20+H34</f>
        <v>4293.3</v>
      </c>
      <c r="G33" s="368" t="s">
        <v>17</v>
      </c>
      <c r="H33" s="369"/>
      <c r="I33" s="9" t="s">
        <v>6</v>
      </c>
      <c r="K33" s="370" t="s">
        <v>68</v>
      </c>
      <c r="L33" s="371"/>
      <c r="M33" s="372" t="s">
        <v>70</v>
      </c>
      <c r="N33" s="371"/>
      <c r="O33" s="11" t="s">
        <v>69</v>
      </c>
      <c r="P33" s="69" t="s">
        <v>0</v>
      </c>
    </row>
    <row r="34" spans="2:16" ht="13.8" thickBot="1">
      <c r="B34" s="89" t="s">
        <v>92</v>
      </c>
      <c r="C34" s="90"/>
      <c r="D34" s="18">
        <f>IF(((12*P29)-(D10+D8))&gt;0,D8*(1-D27),(IF(((12*P29)-D10)&gt;0,(((12*P29)-D10)*(1-D27))+(D8-((12*P29)-D10)),D8)))</f>
        <v>0</v>
      </c>
      <c r="F34" s="66">
        <f>F33/D10</f>
        <v>0.1788875</v>
      </c>
      <c r="G34" s="31" t="s">
        <v>0</v>
      </c>
      <c r="H34" s="32">
        <f>(H30+I30)-(H21+I21)</f>
        <v>2769.3</v>
      </c>
      <c r="I34" s="79">
        <f>IF(H34&gt;0,(H34/D10),0)</f>
        <v>0.1153875</v>
      </c>
      <c r="K34" s="363">
        <f>'2018 (12 Pagas)'!K43:L43</f>
        <v>4.7E-2</v>
      </c>
      <c r="L34" s="364"/>
      <c r="M34" s="365">
        <f>'2018 (12 Pagas)'!M43:N43</f>
        <v>1.55E-2</v>
      </c>
      <c r="N34" s="364"/>
      <c r="O34" s="138">
        <f>'2018 (12 Pagas)'!O43</f>
        <v>1E-3</v>
      </c>
      <c r="P34" s="70">
        <f>SUM(K34:O34)</f>
        <v>6.3500000000000001E-2</v>
      </c>
    </row>
    <row r="35" spans="2:16" ht="13.8" thickBot="1">
      <c r="B35" s="89" t="s">
        <v>84</v>
      </c>
      <c r="C35" s="90"/>
      <c r="D35" s="48">
        <f>'2018 (12 Pagas)'!D43</f>
        <v>0</v>
      </c>
      <c r="I35" s="1"/>
    </row>
    <row r="36" spans="2:16" ht="13.8" thickBot="1">
      <c r="B36" s="366" t="s">
        <v>8</v>
      </c>
      <c r="C36" s="367"/>
      <c r="D36" s="35">
        <f>12*D31+2*D32+D33+D34+D35</f>
        <v>19706.7</v>
      </c>
      <c r="I36" s="1"/>
    </row>
    <row r="37" spans="2:16">
      <c r="C37" s="87"/>
      <c r="D37" s="88"/>
      <c r="I37" s="1"/>
    </row>
    <row r="38" spans="2:16">
      <c r="C38" s="87"/>
      <c r="D38" s="88"/>
      <c r="I38" s="1"/>
    </row>
  </sheetData>
  <sheetProtection password="91BA" sheet="1" formatCells="0" formatColumns="0" formatRows="0" insertColumns="0" insertRows="0" insertHyperlinks="0" deleteColumns="0" deleteRows="0" sort="0" autoFilter="0" pivotTables="0"/>
  <mergeCells count="57">
    <mergeCell ref="K34:L34"/>
    <mergeCell ref="M34:N34"/>
    <mergeCell ref="B36:C36"/>
    <mergeCell ref="B32:C32"/>
    <mergeCell ref="B33:C33"/>
    <mergeCell ref="K32:P32"/>
    <mergeCell ref="G33:H33"/>
    <mergeCell ref="K33:L33"/>
    <mergeCell ref="M33:N33"/>
    <mergeCell ref="B31:C31"/>
    <mergeCell ref="B22:C22"/>
    <mergeCell ref="K22:N22"/>
    <mergeCell ref="B23:C23"/>
    <mergeCell ref="K23:N23"/>
    <mergeCell ref="B24:C24"/>
    <mergeCell ref="G24:I24"/>
    <mergeCell ref="K24:N24"/>
    <mergeCell ref="B26:C26"/>
    <mergeCell ref="B27:C27"/>
    <mergeCell ref="K27:N29"/>
    <mergeCell ref="B28:C28"/>
    <mergeCell ref="B29:C29"/>
    <mergeCell ref="K18:N18"/>
    <mergeCell ref="B19:C19"/>
    <mergeCell ref="B20:C20"/>
    <mergeCell ref="K20:N20"/>
    <mergeCell ref="B21:C21"/>
    <mergeCell ref="K21:N21"/>
    <mergeCell ref="B14:C14"/>
    <mergeCell ref="B15:C15"/>
    <mergeCell ref="G15:I15"/>
    <mergeCell ref="B16:C16"/>
    <mergeCell ref="K16:N17"/>
    <mergeCell ref="B17:C17"/>
    <mergeCell ref="B12:C12"/>
    <mergeCell ref="K12:L13"/>
    <mergeCell ref="M12:M13"/>
    <mergeCell ref="N12:N13"/>
    <mergeCell ref="O12:O13"/>
    <mergeCell ref="B13:C13"/>
    <mergeCell ref="B8:C8"/>
    <mergeCell ref="K8:L9"/>
    <mergeCell ref="M8:M9"/>
    <mergeCell ref="N8:N9"/>
    <mergeCell ref="O8:O9"/>
    <mergeCell ref="B10:C10"/>
    <mergeCell ref="K10:L11"/>
    <mergeCell ref="M10:M11"/>
    <mergeCell ref="N10:N11"/>
    <mergeCell ref="O10:O11"/>
    <mergeCell ref="M6:O6"/>
    <mergeCell ref="B7:C7"/>
    <mergeCell ref="B4:C4"/>
    <mergeCell ref="D4:F4"/>
    <mergeCell ref="B6:C6"/>
    <mergeCell ref="G6:I6"/>
    <mergeCell ref="K6:L7"/>
  </mergeCells>
  <dataValidations count="1">
    <dataValidation type="list" allowBlank="1" showInputMessage="1" showErrorMessage="1" sqref="D4:F4">
      <formula1>$BA$4:$BA$22</formula1>
    </dataValidation>
  </dataValidations>
  <pageMargins left="0.75" right="0.75" top="1" bottom="1" header="0" footer="0"/>
  <pageSetup paperSize="9" orientation="landscape" r:id="rId1"/>
  <headerFooter alignWithMargins="0"/>
  <ignoredErrors>
    <ignoredError sqref="D10 K34 M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56"/>
  <sheetViews>
    <sheetView workbookViewId="0">
      <selection activeCell="A57" sqref="A57"/>
    </sheetView>
  </sheetViews>
  <sheetFormatPr baseColWidth="10" defaultRowHeight="13.2"/>
  <cols>
    <col min="2" max="2" width="39.33203125" customWidth="1"/>
    <col min="3" max="3" width="5.109375" style="36" customWidth="1"/>
    <col min="4" max="4" width="13" bestFit="1" customWidth="1"/>
  </cols>
  <sheetData>
    <row r="1" spans="1:14" s="7" customFormat="1" ht="20.399999999999999">
      <c r="A1" s="6" t="s">
        <v>81</v>
      </c>
      <c r="N1" s="8"/>
    </row>
    <row r="2" spans="1:14" s="8" customFormat="1">
      <c r="C2" s="61"/>
    </row>
    <row r="3" spans="1:14" s="74" customFormat="1" ht="17.100000000000001" customHeight="1">
      <c r="A3" s="74" t="s">
        <v>74</v>
      </c>
      <c r="C3" s="78"/>
    </row>
    <row r="4" spans="1:14" s="74" customFormat="1" ht="17.100000000000001" customHeight="1">
      <c r="A4" s="80" t="s">
        <v>125</v>
      </c>
      <c r="C4" s="78"/>
    </row>
    <row r="5" spans="1:14" ht="13.8" thickBot="1"/>
    <row r="6" spans="1:14">
      <c r="B6" s="350" t="s">
        <v>23</v>
      </c>
      <c r="C6" s="351"/>
      <c r="D6" s="56">
        <f>SUM(D8:D9)</f>
        <v>0</v>
      </c>
    </row>
    <row r="7" spans="1:14" ht="13.8" thickBot="1">
      <c r="B7" s="43" t="s">
        <v>24</v>
      </c>
      <c r="C7" s="222">
        <v>40</v>
      </c>
      <c r="D7" s="44" t="s">
        <v>25</v>
      </c>
    </row>
    <row r="8" spans="1:14" hidden="1">
      <c r="B8" s="37"/>
      <c r="C8" s="41"/>
      <c r="D8" s="39">
        <f>IF(AND(C7&gt;65,C7&lt;76),918,0)</f>
        <v>0</v>
      </c>
    </row>
    <row r="9" spans="1:14" hidden="1">
      <c r="B9" s="37"/>
      <c r="C9" s="41"/>
      <c r="D9" s="39">
        <f>IF(C7&gt;75,2040,0)</f>
        <v>0</v>
      </c>
    </row>
    <row r="10" spans="1:14" hidden="1">
      <c r="B10" s="37"/>
      <c r="C10" s="41"/>
      <c r="D10" s="39"/>
    </row>
    <row r="11" spans="1:14" ht="13.8" hidden="1" thickBot="1">
      <c r="B11" s="38"/>
      <c r="C11" s="42"/>
      <c r="D11" s="40"/>
    </row>
    <row r="12" spans="1:14" ht="13.8" thickBot="1"/>
    <row r="13" spans="1:14">
      <c r="B13" s="350" t="s">
        <v>11</v>
      </c>
      <c r="C13" s="351"/>
      <c r="D13" s="56">
        <f>IF(C22="no",(SUM(D16:D19)+D21)/2,SUM(D16:D19)+D21)</f>
        <v>2550</v>
      </c>
    </row>
    <row r="14" spans="1:14" ht="39.6">
      <c r="B14" s="71" t="s">
        <v>28</v>
      </c>
      <c r="C14" s="223">
        <v>2</v>
      </c>
      <c r="D14" s="52" t="s">
        <v>26</v>
      </c>
    </row>
    <row r="15" spans="1:14" ht="39.6">
      <c r="B15" s="72" t="s">
        <v>47</v>
      </c>
      <c r="C15" s="224">
        <v>0</v>
      </c>
      <c r="D15" s="39" t="s">
        <v>26</v>
      </c>
    </row>
    <row r="16" spans="1:14" hidden="1">
      <c r="B16" s="37"/>
      <c r="C16" s="45"/>
      <c r="D16" s="39">
        <f>IF(C14+C15=1,2400,0)</f>
        <v>0</v>
      </c>
    </row>
    <row r="17" spans="2:4" hidden="1">
      <c r="B17" s="37"/>
      <c r="C17" s="45"/>
      <c r="D17" s="39">
        <f>IF(C14+C15=2,5100,0)</f>
        <v>5100</v>
      </c>
    </row>
    <row r="18" spans="2:4" hidden="1">
      <c r="B18" s="37"/>
      <c r="C18" s="45"/>
      <c r="D18" s="39">
        <f>IF(C14+C15=3,9100,0)</f>
        <v>0</v>
      </c>
    </row>
    <row r="19" spans="2:4" hidden="1">
      <c r="B19" s="37"/>
      <c r="C19" s="45"/>
      <c r="D19" s="54">
        <f>IF(C14+C15&gt;3,(9100+(C14+C15-3)*4500),0)</f>
        <v>0</v>
      </c>
    </row>
    <row r="20" spans="2:4" ht="27" thickBot="1">
      <c r="B20" s="51" t="s">
        <v>29</v>
      </c>
      <c r="C20" s="225">
        <v>0</v>
      </c>
      <c r="D20" s="40" t="s">
        <v>26</v>
      </c>
    </row>
    <row r="21" spans="2:4" ht="13.5" hidden="1" customHeight="1" thickBot="1">
      <c r="B21" s="38"/>
      <c r="C21" s="46"/>
      <c r="D21" s="50">
        <f>IF(C20&gt;0,C20*2800,0)</f>
        <v>0</v>
      </c>
    </row>
    <row r="22" spans="2:4" ht="27" thickBot="1">
      <c r="B22" s="55" t="s">
        <v>44</v>
      </c>
      <c r="C22" s="226" t="s">
        <v>21</v>
      </c>
    </row>
    <row r="23" spans="2:4" ht="13.8" thickBot="1"/>
    <row r="24" spans="2:4">
      <c r="B24" s="350" t="s">
        <v>33</v>
      </c>
      <c r="C24" s="351"/>
      <c r="D24" s="56">
        <f>IF(C30=0,0,(D28+D29)/(C30))</f>
        <v>0</v>
      </c>
    </row>
    <row r="25" spans="2:4" ht="39.6">
      <c r="B25" s="71" t="s">
        <v>30</v>
      </c>
      <c r="C25" s="223">
        <v>0</v>
      </c>
      <c r="D25" s="52" t="s">
        <v>27</v>
      </c>
    </row>
    <row r="26" spans="2:4" ht="39.6">
      <c r="B26" s="72" t="s">
        <v>31</v>
      </c>
      <c r="C26" s="224">
        <v>0</v>
      </c>
      <c r="D26" s="39" t="s">
        <v>27</v>
      </c>
    </row>
    <row r="27" spans="2:4" ht="40.200000000000003" thickBot="1">
      <c r="B27" s="72" t="s">
        <v>32</v>
      </c>
      <c r="C27" s="224">
        <v>0</v>
      </c>
      <c r="D27" s="50" t="s">
        <v>27</v>
      </c>
    </row>
    <row r="28" spans="2:4" hidden="1">
      <c r="B28" s="37"/>
      <c r="C28" s="45"/>
      <c r="D28" s="39">
        <f>IF(C25+C27&gt;0,1150*(C25+C27),0)</f>
        <v>0</v>
      </c>
    </row>
    <row r="29" spans="2:4" ht="13.8" hidden="1" thickBot="1">
      <c r="B29" s="37"/>
      <c r="C29" s="45"/>
      <c r="D29" s="50">
        <f>IF(C26&gt;0,2550*C26,0)</f>
        <v>0</v>
      </c>
    </row>
    <row r="30" spans="2:4" ht="27" thickBot="1">
      <c r="B30" s="55" t="s">
        <v>75</v>
      </c>
      <c r="C30" s="226">
        <v>0</v>
      </c>
    </row>
    <row r="31" spans="2:4" ht="13.8" thickBot="1"/>
    <row r="32" spans="2:4">
      <c r="B32" s="350" t="s">
        <v>39</v>
      </c>
      <c r="C32" s="351"/>
      <c r="D32" s="56">
        <f>SUM(D41:D44)</f>
        <v>0</v>
      </c>
    </row>
    <row r="33" spans="1:4" ht="26.4">
      <c r="B33" s="71" t="s">
        <v>34</v>
      </c>
      <c r="C33" s="223">
        <v>0</v>
      </c>
      <c r="D33" s="52" t="s">
        <v>38</v>
      </c>
    </row>
    <row r="34" spans="1:4" ht="26.4">
      <c r="B34" s="72" t="s">
        <v>35</v>
      </c>
      <c r="C34" s="224">
        <v>0</v>
      </c>
      <c r="D34" s="54" t="s">
        <v>38</v>
      </c>
    </row>
    <row r="35" spans="1:4" ht="26.4">
      <c r="B35" s="72" t="s">
        <v>36</v>
      </c>
      <c r="C35" s="224">
        <v>0</v>
      </c>
      <c r="D35" s="54" t="s">
        <v>27</v>
      </c>
    </row>
    <row r="36" spans="1:4" ht="27" thickBot="1">
      <c r="B36" s="73" t="s">
        <v>37</v>
      </c>
      <c r="C36" s="225">
        <v>0</v>
      </c>
      <c r="D36" s="40" t="s">
        <v>27</v>
      </c>
    </row>
    <row r="37" spans="1:4" hidden="1">
      <c r="B37" s="49"/>
      <c r="C37" s="45"/>
      <c r="D37" s="39">
        <f>C33*2316*1.29</f>
        <v>0</v>
      </c>
    </row>
    <row r="38" spans="1:4" hidden="1">
      <c r="B38" s="49"/>
      <c r="C38" s="45"/>
      <c r="D38" s="39">
        <f>C34*(7038)*1.29</f>
        <v>0</v>
      </c>
    </row>
    <row r="39" spans="1:4" hidden="1">
      <c r="B39" s="49"/>
      <c r="C39" s="45"/>
      <c r="D39" s="39">
        <f>C35*2316*1.29</f>
        <v>0</v>
      </c>
    </row>
    <row r="40" spans="1:4" ht="13.8" hidden="1" thickBot="1">
      <c r="B40" s="38"/>
      <c r="C40" s="46"/>
      <c r="D40" s="50">
        <f>C36*(7038)*1.29</f>
        <v>0</v>
      </c>
    </row>
    <row r="41" spans="1:4" hidden="1">
      <c r="B41" s="57"/>
      <c r="C41" s="58"/>
      <c r="D41" s="59">
        <f>IF(C22="No",(D37+D38)/2,D37+D38)</f>
        <v>0</v>
      </c>
    </row>
    <row r="42" spans="1:4" hidden="1">
      <c r="B42" s="60"/>
      <c r="C42" s="45"/>
      <c r="D42" s="54">
        <f>IF(C30=0,0,(D39+D40)/(C30))</f>
        <v>0</v>
      </c>
    </row>
    <row r="43" spans="1:4" hidden="1">
      <c r="A43" s="53"/>
      <c r="B43" s="60"/>
      <c r="C43" s="45"/>
      <c r="D43" s="54">
        <f>IF(C47="no",0,2316*1.29)</f>
        <v>0</v>
      </c>
    </row>
    <row r="44" spans="1:4" ht="13.8" hidden="1" thickBot="1">
      <c r="A44" s="53"/>
      <c r="B44" s="51"/>
      <c r="C44" s="46"/>
      <c r="D44" s="50">
        <f>IF(C48="No",0,7038*1.29)</f>
        <v>0</v>
      </c>
    </row>
    <row r="45" spans="1:4" ht="13.8" thickBot="1"/>
    <row r="46" spans="1:4">
      <c r="B46" s="350" t="s">
        <v>20</v>
      </c>
      <c r="C46" s="351"/>
      <c r="D46" s="56">
        <f>SUM(D47:D51)</f>
        <v>0</v>
      </c>
    </row>
    <row r="47" spans="1:4">
      <c r="B47" s="37" t="s">
        <v>77</v>
      </c>
      <c r="C47" s="223" t="s">
        <v>21</v>
      </c>
      <c r="D47" s="39">
        <f>IF(C47="SI",3246,0)</f>
        <v>0</v>
      </c>
    </row>
    <row r="48" spans="1:4">
      <c r="B48" s="37" t="s">
        <v>78</v>
      </c>
      <c r="C48" s="224" t="s">
        <v>21</v>
      </c>
      <c r="D48" s="39">
        <f>IF(C48="SI",7242,0)</f>
        <v>0</v>
      </c>
    </row>
    <row r="49" spans="1:6">
      <c r="B49" s="37" t="s">
        <v>76</v>
      </c>
      <c r="C49" s="224" t="s">
        <v>21</v>
      </c>
      <c r="D49" s="39">
        <f>IF(C49="SI",600,0)</f>
        <v>0</v>
      </c>
    </row>
    <row r="50" spans="1:6">
      <c r="B50" s="37" t="s">
        <v>22</v>
      </c>
      <c r="C50" s="224" t="s">
        <v>21</v>
      </c>
      <c r="D50" s="39">
        <f>IF(C50="SI",600,0)</f>
        <v>0</v>
      </c>
    </row>
    <row r="51" spans="1:6" ht="13.8" thickBot="1">
      <c r="B51" s="38" t="s">
        <v>79</v>
      </c>
      <c r="C51" s="225" t="s">
        <v>21</v>
      </c>
      <c r="D51" s="40">
        <f>IF(C51="SI",1200,0)</f>
        <v>0</v>
      </c>
    </row>
    <row r="53" spans="1:6" s="77" customFormat="1" ht="17.100000000000001" customHeight="1">
      <c r="A53" s="75" t="s">
        <v>45</v>
      </c>
      <c r="B53" s="76"/>
      <c r="C53" s="76"/>
      <c r="D53" s="76"/>
      <c r="E53" s="76"/>
      <c r="F53" s="76"/>
    </row>
    <row r="54" spans="1:6" s="77" customFormat="1" ht="17.100000000000001" customHeight="1">
      <c r="A54" s="75" t="s">
        <v>46</v>
      </c>
      <c r="B54" s="76"/>
      <c r="C54" s="76"/>
      <c r="D54" s="76"/>
      <c r="E54" s="76"/>
      <c r="F54" s="76"/>
    </row>
    <row r="55" spans="1:6" s="77" customFormat="1" ht="17.100000000000001" customHeight="1">
      <c r="A55" s="75" t="s">
        <v>48</v>
      </c>
      <c r="B55" s="76"/>
      <c r="C55" s="76"/>
      <c r="D55" s="76"/>
      <c r="E55" s="76"/>
      <c r="F55" s="76"/>
    </row>
    <row r="56" spans="1:6" s="77" customFormat="1" ht="17.100000000000001" customHeight="1">
      <c r="A56" s="75" t="s">
        <v>49</v>
      </c>
      <c r="B56" s="76"/>
      <c r="C56" s="76"/>
      <c r="D56" s="76"/>
      <c r="E56" s="76"/>
      <c r="F56" s="76"/>
    </row>
  </sheetData>
  <sheetProtection password="91BA" sheet="1" formatCells="0" formatColumns="0" formatRows="0" insertColumns="0" insertRows="0" insertHyperlinks="0" deleteColumns="0" deleteRows="0" sort="0" autoFilter="0" pivotTables="0"/>
  <mergeCells count="5">
    <mergeCell ref="B32:C32"/>
    <mergeCell ref="B46:C46"/>
    <mergeCell ref="B6:C6"/>
    <mergeCell ref="B13:C13"/>
    <mergeCell ref="B24:C24"/>
  </mergeCells>
  <phoneticPr fontId="1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L50"/>
  <sheetViews>
    <sheetView workbookViewId="0">
      <selection activeCell="A2" sqref="A2"/>
    </sheetView>
  </sheetViews>
  <sheetFormatPr baseColWidth="10" defaultRowHeight="13.2"/>
  <cols>
    <col min="1" max="1" width="12.33203125" bestFit="1" customWidth="1"/>
    <col min="3" max="3" width="11.44140625" style="109"/>
    <col min="4" max="7" width="11.44140625" style="53"/>
    <col min="8" max="8" width="11.44140625" style="111"/>
    <col min="9" max="9" width="11.44140625" style="109"/>
    <col min="10" max="13" width="11.44140625" style="53"/>
    <col min="14" max="14" width="11.44140625" style="111"/>
    <col min="15" max="15" width="11.44140625" style="109"/>
    <col min="16" max="16" width="11.6640625" style="53" bestFit="1" customWidth="1"/>
    <col min="17" max="19" width="11.44140625" style="53"/>
    <col min="20" max="20" width="11.44140625" style="111"/>
    <col min="21" max="21" width="11.44140625" style="109"/>
    <col min="22" max="25" width="11.44140625" style="53"/>
    <col min="26" max="26" width="11.44140625" style="111"/>
    <col min="27" max="27" width="11.44140625" style="109"/>
    <col min="28" max="28" width="11.6640625" style="53" bestFit="1" customWidth="1"/>
    <col min="29" max="31" width="11.44140625" style="53"/>
    <col min="32" max="32" width="11.44140625" style="111"/>
    <col min="33" max="33" width="11.44140625" style="109"/>
    <col min="34" max="34" width="11.6640625" style="53" bestFit="1" customWidth="1"/>
    <col min="35" max="37" width="11.44140625" style="53"/>
    <col min="38" max="38" width="11.44140625" style="111"/>
    <col min="39" max="39" width="11.44140625" style="109"/>
    <col min="40" max="40" width="11.6640625" style="53" bestFit="1" customWidth="1"/>
    <col min="41" max="43" width="11.44140625" style="53"/>
    <col min="44" max="44" width="11.44140625" style="111"/>
    <col min="45" max="45" width="11.44140625" style="109"/>
    <col min="46" max="49" width="11.44140625" style="53"/>
    <col min="50" max="50" width="11.44140625" style="111"/>
    <col min="51" max="51" width="11.44140625" style="109"/>
    <col min="52" max="52" width="11.6640625" style="53" bestFit="1" customWidth="1"/>
    <col min="53" max="55" width="11.44140625" style="53"/>
    <col min="56" max="56" width="11.44140625" style="111"/>
    <col min="57" max="57" width="11.44140625" style="109"/>
    <col min="58" max="61" width="11.44140625" style="53"/>
    <col min="62" max="62" width="11.44140625" style="111"/>
    <col min="63" max="63" width="11.44140625" style="109"/>
    <col min="64" max="67" width="11.44140625" style="53"/>
    <col min="68" max="68" width="11.44140625" style="111"/>
    <col min="69" max="69" width="11.44140625" style="109"/>
    <col min="70" max="70" width="11.6640625" style="53" bestFit="1" customWidth="1"/>
    <col min="71" max="73" width="11.44140625" style="53"/>
    <col min="74" max="74" width="11.44140625" style="111"/>
    <col min="75" max="75" width="11.44140625" style="109"/>
    <col min="76" max="76" width="11.6640625" style="53" bestFit="1" customWidth="1"/>
    <col min="77" max="79" width="11.44140625" style="53"/>
    <col min="80" max="80" width="11.44140625" style="111"/>
    <col min="81" max="81" width="11.44140625" style="109"/>
    <col min="82" max="82" width="11.6640625" style="53" bestFit="1" customWidth="1"/>
    <col min="83" max="85" width="11.44140625" style="53"/>
    <col min="86" max="86" width="11.44140625" style="111"/>
    <col min="87" max="87" width="11.44140625" style="109"/>
    <col min="88" max="91" width="11.44140625" style="53"/>
    <col min="92" max="92" width="11.44140625" style="111"/>
    <col min="93" max="93" width="11.44140625" style="109"/>
    <col min="94" max="94" width="11.6640625" style="53" bestFit="1" customWidth="1"/>
    <col min="95" max="97" width="11.44140625" style="53"/>
    <col min="98" max="98" width="11.44140625" style="111"/>
    <col min="99" max="99" width="11.44140625" style="109"/>
    <col min="100" max="100" width="11.6640625" style="53" bestFit="1" customWidth="1"/>
    <col min="101" max="103" width="11.44140625" style="53"/>
    <col min="104" max="104" width="11.44140625" style="111"/>
    <col min="105" max="105" width="11.44140625" style="109"/>
    <col min="106" max="109" width="11.44140625" style="53"/>
    <col min="110" max="110" width="11.44140625" style="111"/>
    <col min="111" max="111" width="11.44140625" style="109"/>
    <col min="112" max="115" width="11.44140625" style="53"/>
    <col min="116" max="116" width="11.44140625" style="111"/>
  </cols>
  <sheetData>
    <row r="1" spans="1:116">
      <c r="A1" s="97">
        <v>2017</v>
      </c>
      <c r="C1" s="106"/>
      <c r="D1" s="107"/>
      <c r="E1" s="107"/>
      <c r="F1" s="107"/>
      <c r="G1" s="107"/>
      <c r="H1" s="108"/>
      <c r="I1" s="106"/>
      <c r="J1" s="107"/>
      <c r="K1" s="107"/>
      <c r="L1" s="107"/>
      <c r="M1" s="107"/>
      <c r="N1" s="108"/>
      <c r="O1" s="106"/>
      <c r="P1" s="107"/>
      <c r="Q1" s="107"/>
      <c r="R1" s="107"/>
      <c r="S1" s="107"/>
      <c r="T1" s="108"/>
      <c r="U1" s="106"/>
      <c r="V1" s="107"/>
      <c r="W1" s="107"/>
      <c r="X1" s="107"/>
      <c r="Y1" s="107"/>
      <c r="Z1" s="108"/>
      <c r="AA1" s="106"/>
      <c r="AB1" s="107"/>
      <c r="AC1" s="107"/>
      <c r="AD1" s="107"/>
      <c r="AE1" s="107"/>
      <c r="AF1" s="108"/>
      <c r="AG1" s="106"/>
      <c r="AH1" s="107"/>
      <c r="AI1" s="107"/>
      <c r="AJ1" s="107"/>
      <c r="AK1" s="107"/>
      <c r="AL1" s="108"/>
      <c r="AM1" s="106"/>
      <c r="AN1" s="107"/>
      <c r="AO1" s="107"/>
      <c r="AP1" s="107"/>
      <c r="AQ1" s="107"/>
      <c r="AR1" s="108"/>
      <c r="AS1" s="106"/>
      <c r="AT1" s="107"/>
      <c r="AU1" s="107"/>
      <c r="AV1" s="107"/>
      <c r="AW1" s="107"/>
      <c r="AX1" s="108"/>
      <c r="AY1" s="106"/>
      <c r="AZ1" s="107"/>
      <c r="BA1" s="107"/>
      <c r="BB1" s="107"/>
      <c r="BC1" s="107"/>
      <c r="BD1" s="108"/>
      <c r="BE1" s="106"/>
      <c r="BF1" s="107"/>
      <c r="BG1" s="107"/>
      <c r="BH1" s="107"/>
      <c r="BI1" s="107"/>
      <c r="BJ1" s="108"/>
      <c r="BK1" s="106"/>
      <c r="BL1" s="107"/>
      <c r="BM1" s="107"/>
      <c r="BN1" s="107"/>
      <c r="BO1" s="107"/>
      <c r="BP1" s="108"/>
      <c r="BQ1" s="106"/>
      <c r="BR1" s="107"/>
      <c r="BS1" s="107"/>
      <c r="BT1" s="107"/>
      <c r="BU1" s="107"/>
      <c r="BV1" s="108"/>
      <c r="BW1" s="106"/>
      <c r="BX1" s="107"/>
      <c r="BY1" s="107"/>
      <c r="BZ1" s="107"/>
      <c r="CA1" s="107"/>
      <c r="CB1" s="108"/>
      <c r="CC1" s="106"/>
      <c r="CD1" s="107"/>
      <c r="CE1" s="107"/>
      <c r="CF1" s="107"/>
      <c r="CG1" s="107"/>
      <c r="CH1" s="108"/>
      <c r="CI1" s="106"/>
      <c r="CJ1" s="107"/>
      <c r="CK1" s="107"/>
      <c r="CL1" s="107"/>
      <c r="CM1" s="107"/>
      <c r="CN1" s="108"/>
      <c r="CO1" s="106"/>
      <c r="CP1" s="107"/>
      <c r="CQ1" s="107"/>
      <c r="CR1" s="107"/>
      <c r="CS1" s="107"/>
      <c r="CT1" s="108"/>
      <c r="CU1" s="106"/>
      <c r="CV1" s="107"/>
      <c r="CW1" s="107"/>
      <c r="CX1" s="107"/>
      <c r="CY1" s="107"/>
      <c r="CZ1" s="108"/>
      <c r="DA1" s="106"/>
      <c r="DB1" s="107"/>
      <c r="DC1" s="107"/>
      <c r="DD1" s="107"/>
      <c r="DE1" s="107"/>
      <c r="DF1" s="108"/>
      <c r="DG1" s="106"/>
      <c r="DH1" s="107"/>
      <c r="DI1" s="107"/>
      <c r="DJ1" s="107"/>
      <c r="DK1" s="107"/>
      <c r="DL1" s="108"/>
    </row>
    <row r="2" spans="1:116">
      <c r="A2" s="103" t="str">
        <f>'2018 (12 Pagas)'!D13</f>
        <v>GENERAL</v>
      </c>
      <c r="D2" s="110" t="s">
        <v>96</v>
      </c>
      <c r="J2" s="110" t="s">
        <v>98</v>
      </c>
      <c r="P2" s="110" t="s">
        <v>115</v>
      </c>
      <c r="V2" s="110" t="s">
        <v>108</v>
      </c>
      <c r="AB2" s="110" t="s">
        <v>116</v>
      </c>
      <c r="AH2" s="110" t="s">
        <v>105</v>
      </c>
      <c r="AN2" s="110" t="s">
        <v>106</v>
      </c>
      <c r="AT2" s="110" t="s">
        <v>99</v>
      </c>
      <c r="AZ2" s="110" t="s">
        <v>100</v>
      </c>
      <c r="BF2" s="110" t="s">
        <v>110</v>
      </c>
      <c r="BL2" s="110" t="s">
        <v>111</v>
      </c>
      <c r="BR2" s="110" t="s">
        <v>101</v>
      </c>
      <c r="BX2" s="110" t="s">
        <v>102</v>
      </c>
      <c r="CD2" s="110" t="s">
        <v>104</v>
      </c>
      <c r="CJ2" s="110" t="s">
        <v>114</v>
      </c>
      <c r="CP2" s="110" t="s">
        <v>103</v>
      </c>
      <c r="CV2" s="110" t="s">
        <v>107</v>
      </c>
      <c r="DB2" s="110" t="s">
        <v>112</v>
      </c>
      <c r="DH2" s="110" t="s">
        <v>113</v>
      </c>
    </row>
    <row r="3" spans="1:116" ht="13.8" thickBot="1">
      <c r="F3" s="53">
        <f>IF(D2=$A$2,1,0)</f>
        <v>1</v>
      </c>
      <c r="L3" s="53">
        <f>IF(J2=$A$2,1,0)</f>
        <v>0</v>
      </c>
      <c r="R3" s="53">
        <f>IF(P2=$A$2,1,0)</f>
        <v>0</v>
      </c>
      <c r="X3" s="53">
        <f>IF(V2=$A$2,1,0)</f>
        <v>0</v>
      </c>
      <c r="AD3" s="53">
        <f>IF(AB2=$A$2,1,0)</f>
        <v>0</v>
      </c>
      <c r="AJ3" s="53">
        <f>IF(AH2=$A$2,1,0)</f>
        <v>0</v>
      </c>
      <c r="AP3" s="53">
        <f>IF(AN2=$A$2,1,0)</f>
        <v>0</v>
      </c>
      <c r="AV3" s="53">
        <f>IF(AT2=$A$2,1,0)</f>
        <v>0</v>
      </c>
      <c r="BB3" s="53">
        <f>IF(AZ2=$A$2,1,0)</f>
        <v>0</v>
      </c>
      <c r="BH3" s="53">
        <f>IF(BF2=$A$2,1,0)</f>
        <v>0</v>
      </c>
      <c r="BN3" s="53">
        <f>IF(BL2=$A$2,1,0)</f>
        <v>0</v>
      </c>
      <c r="BT3" s="53">
        <f>IF(BR2=$A$2,1,0)</f>
        <v>0</v>
      </c>
      <c r="BZ3" s="53">
        <f>IF(BX2=$A$2,1,0)</f>
        <v>0</v>
      </c>
      <c r="CF3" s="53">
        <f>IF(CD2=$A$2,1,0)</f>
        <v>0</v>
      </c>
      <c r="CL3" s="53">
        <f>IF(CJ2=$A$2,1,0)</f>
        <v>0</v>
      </c>
      <c r="CR3" s="53">
        <f>IF(CP2=$A$2,1,0)</f>
        <v>0</v>
      </c>
      <c r="CX3" s="53">
        <f>IF(CV2=$A$2,1,0)</f>
        <v>0</v>
      </c>
      <c r="DD3" s="53">
        <f>IF(DB2=$A$2,1,0)</f>
        <v>0</v>
      </c>
      <c r="DJ3" s="53">
        <f>IF(DH2=$A$2,1,0)</f>
        <v>0</v>
      </c>
    </row>
    <row r="4" spans="1:116">
      <c r="C4" s="112"/>
      <c r="D4" s="314" t="s">
        <v>15</v>
      </c>
      <c r="E4" s="315"/>
      <c r="F4" s="316"/>
      <c r="I4" s="112"/>
      <c r="J4" s="314" t="s">
        <v>15</v>
      </c>
      <c r="K4" s="315"/>
      <c r="L4" s="316"/>
      <c r="O4" s="112"/>
      <c r="P4" s="314" t="s">
        <v>15</v>
      </c>
      <c r="Q4" s="315"/>
      <c r="R4" s="316"/>
      <c r="U4" s="112"/>
      <c r="V4" s="314" t="s">
        <v>15</v>
      </c>
      <c r="W4" s="315"/>
      <c r="X4" s="316"/>
      <c r="AA4" s="112"/>
      <c r="AB4" s="314" t="s">
        <v>15</v>
      </c>
      <c r="AC4" s="315"/>
      <c r="AD4" s="316"/>
      <c r="AG4" s="112"/>
      <c r="AH4" s="314" t="s">
        <v>15</v>
      </c>
      <c r="AI4" s="315"/>
      <c r="AJ4" s="316"/>
      <c r="AM4" s="112"/>
      <c r="AN4" s="314" t="s">
        <v>15</v>
      </c>
      <c r="AO4" s="315"/>
      <c r="AP4" s="316"/>
      <c r="AS4" s="112"/>
      <c r="AT4" s="314" t="s">
        <v>15</v>
      </c>
      <c r="AU4" s="315"/>
      <c r="AV4" s="316"/>
      <c r="AY4" s="112"/>
      <c r="AZ4" s="314" t="s">
        <v>15</v>
      </c>
      <c r="BA4" s="315"/>
      <c r="BB4" s="316"/>
      <c r="BE4" s="112"/>
      <c r="BF4" s="314" t="s">
        <v>15</v>
      </c>
      <c r="BG4" s="315"/>
      <c r="BH4" s="316"/>
      <c r="BK4" s="112"/>
      <c r="BL4" s="314" t="s">
        <v>15</v>
      </c>
      <c r="BM4" s="315"/>
      <c r="BN4" s="316"/>
      <c r="BQ4" s="112"/>
      <c r="BR4" s="314" t="s">
        <v>15</v>
      </c>
      <c r="BS4" s="315"/>
      <c r="BT4" s="316"/>
      <c r="BW4" s="112"/>
      <c r="BX4" s="314" t="s">
        <v>15</v>
      </c>
      <c r="BY4" s="315"/>
      <c r="BZ4" s="316"/>
      <c r="CC4" s="112"/>
      <c r="CD4" s="314" t="s">
        <v>15</v>
      </c>
      <c r="CE4" s="315"/>
      <c r="CF4" s="316"/>
      <c r="CI4" s="112"/>
      <c r="CJ4" s="314" t="s">
        <v>15</v>
      </c>
      <c r="CK4" s="315"/>
      <c r="CL4" s="316"/>
      <c r="CO4" s="112"/>
      <c r="CP4" s="314" t="s">
        <v>15</v>
      </c>
      <c r="CQ4" s="315"/>
      <c r="CR4" s="316"/>
      <c r="CU4" s="112"/>
      <c r="CV4" s="314" t="s">
        <v>15</v>
      </c>
      <c r="CW4" s="315"/>
      <c r="CX4" s="316"/>
      <c r="DA4" s="112"/>
      <c r="DB4" s="314" t="s">
        <v>15</v>
      </c>
      <c r="DC4" s="315"/>
      <c r="DD4" s="316"/>
      <c r="DG4" s="112"/>
      <c r="DH4" s="314" t="s">
        <v>15</v>
      </c>
      <c r="DI4" s="315"/>
      <c r="DJ4" s="316"/>
    </row>
    <row r="5" spans="1:116" ht="13.8" thickBot="1">
      <c r="C5" s="112"/>
      <c r="D5" s="10" t="s">
        <v>4</v>
      </c>
      <c r="E5" s="11" t="s">
        <v>5</v>
      </c>
      <c r="F5" s="63" t="s">
        <v>73</v>
      </c>
      <c r="I5" s="112"/>
      <c r="J5" s="10" t="s">
        <v>4</v>
      </c>
      <c r="K5" s="11" t="s">
        <v>5</v>
      </c>
      <c r="L5" s="63" t="s">
        <v>73</v>
      </c>
      <c r="O5" s="112"/>
      <c r="P5" s="10" t="s">
        <v>4</v>
      </c>
      <c r="Q5" s="11" t="s">
        <v>5</v>
      </c>
      <c r="R5" s="63" t="s">
        <v>73</v>
      </c>
      <c r="U5" s="112"/>
      <c r="V5" s="10" t="s">
        <v>4</v>
      </c>
      <c r="W5" s="11" t="s">
        <v>5</v>
      </c>
      <c r="X5" s="63" t="s">
        <v>73</v>
      </c>
      <c r="AA5" s="112"/>
      <c r="AB5" s="10" t="s">
        <v>4</v>
      </c>
      <c r="AC5" s="11" t="s">
        <v>5</v>
      </c>
      <c r="AD5" s="63" t="s">
        <v>73</v>
      </c>
      <c r="AG5" s="112"/>
      <c r="AH5" s="10" t="s">
        <v>4</v>
      </c>
      <c r="AI5" s="11" t="s">
        <v>5</v>
      </c>
      <c r="AJ5" s="63" t="s">
        <v>73</v>
      </c>
      <c r="AM5" s="112"/>
      <c r="AN5" s="10" t="s">
        <v>4</v>
      </c>
      <c r="AO5" s="11" t="s">
        <v>5</v>
      </c>
      <c r="AP5" s="63" t="s">
        <v>73</v>
      </c>
      <c r="AS5" s="112"/>
      <c r="AT5" s="10" t="s">
        <v>4</v>
      </c>
      <c r="AU5" s="11" t="s">
        <v>5</v>
      </c>
      <c r="AV5" s="63" t="s">
        <v>73</v>
      </c>
      <c r="AY5" s="112"/>
      <c r="AZ5" s="10" t="s">
        <v>4</v>
      </c>
      <c r="BA5" s="11" t="s">
        <v>5</v>
      </c>
      <c r="BB5" s="63" t="s">
        <v>73</v>
      </c>
      <c r="BE5" s="112"/>
      <c r="BF5" s="10" t="s">
        <v>4</v>
      </c>
      <c r="BG5" s="11" t="s">
        <v>5</v>
      </c>
      <c r="BH5" s="63" t="s">
        <v>73</v>
      </c>
      <c r="BK5" s="112"/>
      <c r="BL5" s="10" t="s">
        <v>4</v>
      </c>
      <c r="BM5" s="11" t="s">
        <v>5</v>
      </c>
      <c r="BN5" s="63" t="s">
        <v>73</v>
      </c>
      <c r="BQ5" s="112"/>
      <c r="BR5" s="10" t="s">
        <v>4</v>
      </c>
      <c r="BS5" s="11" t="s">
        <v>5</v>
      </c>
      <c r="BT5" s="63" t="s">
        <v>73</v>
      </c>
      <c r="BW5" s="112"/>
      <c r="BX5" s="10" t="s">
        <v>4</v>
      </c>
      <c r="BY5" s="11" t="s">
        <v>5</v>
      </c>
      <c r="BZ5" s="63" t="s">
        <v>73</v>
      </c>
      <c r="CC5" s="112"/>
      <c r="CD5" s="10" t="s">
        <v>4</v>
      </c>
      <c r="CE5" s="11" t="s">
        <v>5</v>
      </c>
      <c r="CF5" s="63" t="s">
        <v>73</v>
      </c>
      <c r="CI5" s="112"/>
      <c r="CJ5" s="10" t="s">
        <v>4</v>
      </c>
      <c r="CK5" s="11" t="s">
        <v>5</v>
      </c>
      <c r="CL5" s="63" t="s">
        <v>73</v>
      </c>
      <c r="CO5" s="112"/>
      <c r="CP5" s="10" t="s">
        <v>4</v>
      </c>
      <c r="CQ5" s="11" t="s">
        <v>5</v>
      </c>
      <c r="CR5" s="63" t="s">
        <v>73</v>
      </c>
      <c r="CU5" s="112"/>
      <c r="CV5" s="10" t="s">
        <v>4</v>
      </c>
      <c r="CW5" s="11" t="s">
        <v>5</v>
      </c>
      <c r="CX5" s="63" t="s">
        <v>73</v>
      </c>
      <c r="DA5" s="112"/>
      <c r="DB5" s="10" t="s">
        <v>4</v>
      </c>
      <c r="DC5" s="11" t="s">
        <v>5</v>
      </c>
      <c r="DD5" s="63" t="s">
        <v>73</v>
      </c>
      <c r="DG5" s="112"/>
      <c r="DH5" s="10" t="s">
        <v>4</v>
      </c>
      <c r="DI5" s="11" t="s">
        <v>5</v>
      </c>
      <c r="DJ5" s="63" t="s">
        <v>73</v>
      </c>
    </row>
    <row r="6" spans="1:116">
      <c r="C6" s="112"/>
      <c r="D6" s="19">
        <v>0</v>
      </c>
      <c r="E6" s="20">
        <v>12450</v>
      </c>
      <c r="F6" s="21">
        <v>9.5000000000000001E-2</v>
      </c>
      <c r="I6" s="112"/>
      <c r="J6" s="19">
        <v>0</v>
      </c>
      <c r="K6" s="20">
        <v>12450</v>
      </c>
      <c r="L6" s="21">
        <v>9.5000000000000001E-2</v>
      </c>
      <c r="M6" s="66"/>
      <c r="N6" s="119"/>
      <c r="O6" s="112"/>
      <c r="P6" s="19">
        <v>0</v>
      </c>
      <c r="Q6" s="20">
        <v>12450</v>
      </c>
      <c r="R6" s="21">
        <v>0.1</v>
      </c>
      <c r="U6" s="112"/>
      <c r="V6" s="19">
        <v>0</v>
      </c>
      <c r="W6" s="20">
        <v>12450</v>
      </c>
      <c r="X6" s="21">
        <v>9.5000000000000001E-2</v>
      </c>
      <c r="AA6" s="112"/>
      <c r="AB6" s="19">
        <v>0</v>
      </c>
      <c r="AC6" s="20">
        <v>12450</v>
      </c>
      <c r="AD6" s="21">
        <v>0.1</v>
      </c>
      <c r="AG6" s="112"/>
      <c r="AH6" s="19">
        <v>0</v>
      </c>
      <c r="AI6" s="20">
        <v>12450</v>
      </c>
      <c r="AJ6" s="21">
        <v>0.1</v>
      </c>
      <c r="AM6" s="112"/>
      <c r="AN6" s="19">
        <v>0</v>
      </c>
      <c r="AO6" s="20">
        <v>10000</v>
      </c>
      <c r="AP6" s="21">
        <v>9.5000000000000001E-2</v>
      </c>
      <c r="AS6" s="112"/>
      <c r="AT6" s="19">
        <v>0</v>
      </c>
      <c r="AU6" s="20">
        <v>12450</v>
      </c>
      <c r="AV6" s="21">
        <v>9.5000000000000001E-2</v>
      </c>
      <c r="AY6" s="112"/>
      <c r="AZ6" s="19">
        <v>0</v>
      </c>
      <c r="BA6" s="20">
        <v>12450</v>
      </c>
      <c r="BB6" s="21">
        <v>9.5000000000000001E-2</v>
      </c>
      <c r="BE6" s="112"/>
      <c r="BF6" s="19">
        <v>0</v>
      </c>
      <c r="BG6" s="20">
        <v>12450</v>
      </c>
      <c r="BH6" s="21">
        <v>9.5000000000000001E-2</v>
      </c>
      <c r="BK6" s="112"/>
      <c r="BL6" s="19">
        <v>0</v>
      </c>
      <c r="BM6" s="20">
        <v>12450</v>
      </c>
      <c r="BN6" s="21">
        <v>9.5000000000000001E-2</v>
      </c>
      <c r="BQ6" s="112"/>
      <c r="BR6" s="19">
        <v>0</v>
      </c>
      <c r="BS6" s="20">
        <v>17707.2</v>
      </c>
      <c r="BT6" s="21">
        <v>0.12</v>
      </c>
      <c r="BW6" s="112"/>
      <c r="BX6" s="19">
        <v>0</v>
      </c>
      <c r="BY6" s="20">
        <v>12450</v>
      </c>
      <c r="BZ6" s="21">
        <v>0.105</v>
      </c>
      <c r="CC6" s="112"/>
      <c r="CD6" s="19">
        <v>0</v>
      </c>
      <c r="CE6" s="20">
        <v>12450</v>
      </c>
      <c r="CF6" s="21">
        <v>9.5000000000000001E-2</v>
      </c>
      <c r="CI6" s="112"/>
      <c r="CJ6" s="19">
        <v>0</v>
      </c>
      <c r="CK6" s="20">
        <v>12450</v>
      </c>
      <c r="CL6" s="21">
        <v>0.1</v>
      </c>
      <c r="CO6" s="112"/>
      <c r="CP6" s="19">
        <v>0</v>
      </c>
      <c r="CQ6" s="20">
        <v>12450</v>
      </c>
      <c r="CR6" s="21">
        <v>9.5000000000000001E-2</v>
      </c>
      <c r="CU6" s="112"/>
      <c r="CV6" s="19">
        <v>0</v>
      </c>
      <c r="CW6" s="20">
        <v>12450</v>
      </c>
      <c r="CX6" s="21">
        <v>0.1</v>
      </c>
      <c r="DA6" s="112"/>
      <c r="DB6" s="19">
        <v>0</v>
      </c>
      <c r="DC6" s="20">
        <v>12450</v>
      </c>
      <c r="DD6" s="21">
        <v>9.5000000000000001E-2</v>
      </c>
      <c r="DG6" s="112"/>
      <c r="DH6" s="19">
        <v>0</v>
      </c>
      <c r="DI6" s="20">
        <v>12450</v>
      </c>
      <c r="DJ6" s="21">
        <v>9.5000000000000001E-2</v>
      </c>
    </row>
    <row r="7" spans="1:116">
      <c r="C7" s="112"/>
      <c r="D7" s="22">
        <v>12450</v>
      </c>
      <c r="E7" s="23">
        <v>20200</v>
      </c>
      <c r="F7" s="24">
        <v>0.12</v>
      </c>
      <c r="I7" s="112"/>
      <c r="J7" s="22">
        <v>12450</v>
      </c>
      <c r="K7" s="23">
        <v>20200</v>
      </c>
      <c r="L7" s="24">
        <v>0.12</v>
      </c>
      <c r="M7" s="66"/>
      <c r="N7" s="119"/>
      <c r="O7" s="112"/>
      <c r="P7" s="98">
        <v>12450</v>
      </c>
      <c r="Q7" s="99">
        <v>20200</v>
      </c>
      <c r="R7" s="100">
        <v>0.12</v>
      </c>
      <c r="U7" s="112"/>
      <c r="V7" s="22">
        <v>12450</v>
      </c>
      <c r="W7" s="23">
        <v>17707.2</v>
      </c>
      <c r="X7" s="24">
        <v>0.112</v>
      </c>
      <c r="AA7" s="112"/>
      <c r="AB7" s="98">
        <v>12450</v>
      </c>
      <c r="AC7" s="99">
        <v>20200</v>
      </c>
      <c r="AD7" s="100">
        <v>0.125</v>
      </c>
      <c r="AG7" s="112"/>
      <c r="AH7" s="98">
        <v>12450</v>
      </c>
      <c r="AI7" s="99">
        <v>17707.2</v>
      </c>
      <c r="AJ7" s="100">
        <v>0.12</v>
      </c>
      <c r="AM7" s="112"/>
      <c r="AN7" s="98">
        <v>10000</v>
      </c>
      <c r="AO7" s="99">
        <v>18000</v>
      </c>
      <c r="AP7" s="100">
        <v>0.11749999999999999</v>
      </c>
      <c r="AS7" s="112"/>
      <c r="AT7" s="22">
        <v>12450</v>
      </c>
      <c r="AU7" s="23">
        <v>17701.21</v>
      </c>
      <c r="AV7" s="24">
        <v>0.12</v>
      </c>
      <c r="AY7" s="112"/>
      <c r="AZ7" s="98">
        <v>12450</v>
      </c>
      <c r="BA7" s="99">
        <v>20200</v>
      </c>
      <c r="BB7" s="100">
        <v>0.12</v>
      </c>
      <c r="BE7" s="112"/>
      <c r="BF7" s="22">
        <v>12450</v>
      </c>
      <c r="BG7" s="23">
        <v>20200</v>
      </c>
      <c r="BH7" s="24">
        <v>0.12</v>
      </c>
      <c r="BK7" s="112"/>
      <c r="BL7" s="22">
        <v>12450</v>
      </c>
      <c r="BM7" s="23">
        <v>20200</v>
      </c>
      <c r="BN7" s="24">
        <v>0.12</v>
      </c>
      <c r="BQ7" s="112"/>
      <c r="BR7" s="22">
        <v>17707.2</v>
      </c>
      <c r="BS7" s="23">
        <v>33007.199999999997</v>
      </c>
      <c r="BT7" s="24">
        <v>0.14000000000000001</v>
      </c>
      <c r="BW7" s="112"/>
      <c r="BX7" s="98">
        <v>12450</v>
      </c>
      <c r="BY7" s="99">
        <v>20200</v>
      </c>
      <c r="BZ7" s="100">
        <v>0.125</v>
      </c>
      <c r="CC7" s="112"/>
      <c r="CD7" s="98">
        <v>12450</v>
      </c>
      <c r="CE7" s="99">
        <v>20200</v>
      </c>
      <c r="CF7" s="100">
        <v>0.11749999999999999</v>
      </c>
      <c r="CI7" s="112"/>
      <c r="CJ7" s="22">
        <v>12450</v>
      </c>
      <c r="CK7" s="23">
        <v>20200</v>
      </c>
      <c r="CL7" s="24">
        <v>0.125</v>
      </c>
      <c r="CO7" s="112"/>
      <c r="CP7" s="98">
        <v>12450</v>
      </c>
      <c r="CQ7" s="99">
        <v>20200</v>
      </c>
      <c r="CR7" s="100">
        <v>0.12</v>
      </c>
      <c r="CU7" s="112"/>
      <c r="CV7" s="98">
        <v>12450</v>
      </c>
      <c r="CW7" s="99">
        <v>17000</v>
      </c>
      <c r="CX7" s="100">
        <v>0.11</v>
      </c>
      <c r="DA7" s="112"/>
      <c r="DB7" s="22">
        <v>12450</v>
      </c>
      <c r="DC7" s="23">
        <v>20200</v>
      </c>
      <c r="DD7" s="24">
        <v>0.12</v>
      </c>
      <c r="DG7" s="112"/>
      <c r="DH7" s="22">
        <v>12450</v>
      </c>
      <c r="DI7" s="23">
        <v>20200</v>
      </c>
      <c r="DJ7" s="24">
        <v>0.12</v>
      </c>
    </row>
    <row r="8" spans="1:116">
      <c r="C8" s="112"/>
      <c r="D8" s="22">
        <v>20200</v>
      </c>
      <c r="E8" s="23">
        <v>35200</v>
      </c>
      <c r="F8" s="24">
        <v>0.15</v>
      </c>
      <c r="I8" s="112"/>
      <c r="J8" s="22">
        <v>20200</v>
      </c>
      <c r="K8" s="23">
        <v>35200</v>
      </c>
      <c r="L8" s="24">
        <v>0.15</v>
      </c>
      <c r="M8" s="66"/>
      <c r="N8" s="119"/>
      <c r="O8" s="112"/>
      <c r="P8" s="98">
        <v>20200</v>
      </c>
      <c r="Q8" s="99">
        <v>28000</v>
      </c>
      <c r="R8" s="100">
        <v>0.15</v>
      </c>
      <c r="U8" s="112"/>
      <c r="V8" s="22">
        <v>17707.2</v>
      </c>
      <c r="W8" s="23">
        <v>33007.199999999997</v>
      </c>
      <c r="X8" s="24">
        <v>0.13300000000000001</v>
      </c>
      <c r="AA8" s="112"/>
      <c r="AB8" s="98">
        <v>20200</v>
      </c>
      <c r="AC8" s="99">
        <v>34000</v>
      </c>
      <c r="AD8" s="100">
        <v>0.155</v>
      </c>
      <c r="AG8" s="112"/>
      <c r="AH8" s="98">
        <v>17707.2</v>
      </c>
      <c r="AI8" s="99">
        <v>33007.199999999997</v>
      </c>
      <c r="AJ8" s="100">
        <v>0.14000000000000001</v>
      </c>
      <c r="AM8" s="112"/>
      <c r="AN8" s="98">
        <v>18000</v>
      </c>
      <c r="AO8" s="99">
        <v>30000</v>
      </c>
      <c r="AP8" s="100">
        <v>0.14749999999999999</v>
      </c>
      <c r="AS8" s="112"/>
      <c r="AT8" s="22">
        <v>17701.21</v>
      </c>
      <c r="AU8" s="23">
        <v>33007.21</v>
      </c>
      <c r="AV8" s="24">
        <v>0.14000000000000001</v>
      </c>
      <c r="AY8" s="112"/>
      <c r="AZ8" s="98">
        <v>20200</v>
      </c>
      <c r="BA8" s="99">
        <v>34000</v>
      </c>
      <c r="BB8" s="100">
        <v>0.15</v>
      </c>
      <c r="BE8" s="112"/>
      <c r="BF8" s="22">
        <v>20200</v>
      </c>
      <c r="BG8" s="23">
        <v>35200</v>
      </c>
      <c r="BH8" s="24">
        <v>0.15</v>
      </c>
      <c r="BK8" s="112"/>
      <c r="BL8" s="22">
        <v>20200</v>
      </c>
      <c r="BM8" s="23">
        <v>35200</v>
      </c>
      <c r="BN8" s="24">
        <v>0.14000000000000001</v>
      </c>
      <c r="BQ8" s="112"/>
      <c r="BR8" s="22">
        <v>33007.199999999997</v>
      </c>
      <c r="BS8" s="23">
        <v>53407.199999999997</v>
      </c>
      <c r="BT8" s="24">
        <v>0.185</v>
      </c>
      <c r="BW8" s="112"/>
      <c r="BX8" s="98">
        <v>20200</v>
      </c>
      <c r="BY8" s="99">
        <v>24200</v>
      </c>
      <c r="BZ8" s="100">
        <v>0.155</v>
      </c>
      <c r="CC8" s="112"/>
      <c r="CD8" s="98">
        <v>20200</v>
      </c>
      <c r="CE8" s="99">
        <v>27700</v>
      </c>
      <c r="CF8" s="100">
        <v>0.155</v>
      </c>
      <c r="CI8" s="112"/>
      <c r="CJ8" s="22">
        <v>20200</v>
      </c>
      <c r="CK8" s="23">
        <v>34000</v>
      </c>
      <c r="CL8" s="24">
        <v>0.155</v>
      </c>
      <c r="CO8" s="112"/>
      <c r="CP8" s="98">
        <v>20200</v>
      </c>
      <c r="CQ8" s="99">
        <v>35200</v>
      </c>
      <c r="CR8" s="100">
        <v>0.15</v>
      </c>
      <c r="CU8" s="112"/>
      <c r="CV8" s="98">
        <v>17000</v>
      </c>
      <c r="CW8" s="99">
        <v>30000</v>
      </c>
      <c r="CX8" s="100">
        <v>0.13900000000000001</v>
      </c>
      <c r="DA8" s="112"/>
      <c r="DB8" s="22">
        <v>20200</v>
      </c>
      <c r="DC8" s="23">
        <v>34000</v>
      </c>
      <c r="DD8" s="24">
        <v>0.15</v>
      </c>
      <c r="DG8" s="112"/>
      <c r="DH8" s="22">
        <v>20200</v>
      </c>
      <c r="DI8" s="23">
        <v>34000</v>
      </c>
      <c r="DJ8" s="24">
        <v>0.15</v>
      </c>
    </row>
    <row r="9" spans="1:116">
      <c r="C9" s="112"/>
      <c r="D9" s="22">
        <v>35200</v>
      </c>
      <c r="E9" s="23">
        <v>60000</v>
      </c>
      <c r="F9" s="24">
        <v>0.185</v>
      </c>
      <c r="I9" s="112"/>
      <c r="J9" s="22">
        <v>35200</v>
      </c>
      <c r="K9" s="23">
        <v>60000</v>
      </c>
      <c r="L9" s="24">
        <v>0.185</v>
      </c>
      <c r="M9" s="66"/>
      <c r="N9" s="119"/>
      <c r="O9" s="112"/>
      <c r="P9" s="98">
        <v>28000</v>
      </c>
      <c r="Q9" s="99">
        <v>35200</v>
      </c>
      <c r="R9" s="100">
        <v>0.16500000000000001</v>
      </c>
      <c r="U9" s="112"/>
      <c r="V9" s="22">
        <v>33007.199999999997</v>
      </c>
      <c r="W9" s="23">
        <v>53407.199999999997</v>
      </c>
      <c r="X9" s="24">
        <v>0.17899999999999999</v>
      </c>
      <c r="AA9" s="112"/>
      <c r="AB9" s="98">
        <v>34000</v>
      </c>
      <c r="AC9" s="99">
        <v>50000</v>
      </c>
      <c r="AD9" s="100">
        <v>0.19</v>
      </c>
      <c r="AG9" s="112"/>
      <c r="AH9" s="98">
        <v>33007.199999999997</v>
      </c>
      <c r="AI9" s="99">
        <v>53407.199999999997</v>
      </c>
      <c r="AJ9" s="100">
        <v>0.185</v>
      </c>
      <c r="AM9" s="112"/>
      <c r="AN9" s="98">
        <v>30000</v>
      </c>
      <c r="AO9" s="99">
        <v>48000</v>
      </c>
      <c r="AP9" s="100">
        <v>0.17749999999999999</v>
      </c>
      <c r="AS9" s="112"/>
      <c r="AT9" s="22">
        <v>33007.21</v>
      </c>
      <c r="AU9" s="23">
        <v>53407.21</v>
      </c>
      <c r="AV9" s="24">
        <v>0.185</v>
      </c>
      <c r="AY9" s="112"/>
      <c r="AZ9" s="98">
        <v>34000</v>
      </c>
      <c r="BA9" s="99">
        <v>46000</v>
      </c>
      <c r="BB9" s="100">
        <v>0.185</v>
      </c>
      <c r="BE9" s="112"/>
      <c r="BF9" s="22">
        <v>35200</v>
      </c>
      <c r="BG9" s="23">
        <v>60000</v>
      </c>
      <c r="BH9" s="24">
        <v>0.185</v>
      </c>
      <c r="BK9" s="112"/>
      <c r="BL9" s="22">
        <v>35200</v>
      </c>
      <c r="BM9" s="23">
        <v>53407.199999999997</v>
      </c>
      <c r="BN9" s="24">
        <v>0.185</v>
      </c>
      <c r="BQ9" s="112"/>
      <c r="BR9" s="22">
        <v>53407.199999999997</v>
      </c>
      <c r="BS9" s="23">
        <v>120000.2</v>
      </c>
      <c r="BT9" s="24">
        <v>0.215</v>
      </c>
      <c r="BW9" s="112"/>
      <c r="BX9" s="98">
        <v>24200</v>
      </c>
      <c r="BY9" s="99">
        <v>35200</v>
      </c>
      <c r="BZ9" s="100">
        <v>0.16500000000000001</v>
      </c>
      <c r="CC9" s="112"/>
      <c r="CD9" s="98">
        <v>27700</v>
      </c>
      <c r="CE9" s="99">
        <v>35200</v>
      </c>
      <c r="CF9" s="100">
        <v>0.17</v>
      </c>
      <c r="CI9" s="112"/>
      <c r="CJ9" s="22">
        <v>34000</v>
      </c>
      <c r="CK9" s="23">
        <v>60000</v>
      </c>
      <c r="CL9" s="24">
        <v>0.19500000000000001</v>
      </c>
      <c r="CO9" s="112"/>
      <c r="CP9" s="98">
        <v>35200</v>
      </c>
      <c r="CQ9" s="99">
        <v>50000</v>
      </c>
      <c r="CR9" s="100">
        <v>0.19</v>
      </c>
      <c r="CU9" s="112"/>
      <c r="CV9" s="98">
        <v>30000</v>
      </c>
      <c r="CW9" s="99">
        <v>50000</v>
      </c>
      <c r="CX9" s="100">
        <v>0.18</v>
      </c>
      <c r="DA9" s="112"/>
      <c r="DB9" s="22">
        <v>34000</v>
      </c>
      <c r="DC9" s="23">
        <v>60000</v>
      </c>
      <c r="DD9" s="24">
        <v>0.185</v>
      </c>
      <c r="DG9" s="112"/>
      <c r="DH9" s="22">
        <v>34000</v>
      </c>
      <c r="DI9" s="23">
        <v>60000</v>
      </c>
      <c r="DJ9" s="24">
        <v>0.185</v>
      </c>
    </row>
    <row r="10" spans="1:116" ht="13.8" thickBot="1">
      <c r="C10" s="112"/>
      <c r="D10" s="25">
        <v>60000</v>
      </c>
      <c r="E10" s="26"/>
      <c r="F10" s="27">
        <v>0.22500000000000001</v>
      </c>
      <c r="I10" s="112"/>
      <c r="J10" s="25">
        <v>60000</v>
      </c>
      <c r="K10" s="26"/>
      <c r="L10" s="27">
        <v>0.22500000000000001</v>
      </c>
      <c r="M10" s="66"/>
      <c r="N10" s="119"/>
      <c r="O10" s="112"/>
      <c r="P10" s="22">
        <v>35200</v>
      </c>
      <c r="Q10" s="23">
        <v>50000</v>
      </c>
      <c r="R10" s="24">
        <v>0.19</v>
      </c>
      <c r="U10" s="112"/>
      <c r="V10" s="25">
        <v>53407.199999999997</v>
      </c>
      <c r="W10" s="26"/>
      <c r="X10" s="27">
        <v>0.21</v>
      </c>
      <c r="AA10" s="112"/>
      <c r="AB10" s="22">
        <v>50000</v>
      </c>
      <c r="AC10" s="23">
        <v>60000</v>
      </c>
      <c r="AD10" s="24">
        <v>0.21</v>
      </c>
      <c r="AG10" s="112"/>
      <c r="AH10" s="22">
        <v>53407.199999999997</v>
      </c>
      <c r="AI10" s="23">
        <v>70000</v>
      </c>
      <c r="AJ10" s="24">
        <v>0.215</v>
      </c>
      <c r="AM10" s="112"/>
      <c r="AN10" s="22">
        <v>48000</v>
      </c>
      <c r="AO10" s="23">
        <v>70000</v>
      </c>
      <c r="AP10" s="24">
        <v>0.1925</v>
      </c>
      <c r="AS10" s="112"/>
      <c r="AT10" s="22">
        <v>53407.21</v>
      </c>
      <c r="AU10" s="23">
        <v>90000.01</v>
      </c>
      <c r="AV10" s="24">
        <v>0.23499999999999999</v>
      </c>
      <c r="AY10" s="112"/>
      <c r="AZ10" s="22">
        <v>46000</v>
      </c>
      <c r="BA10" s="23">
        <v>60000</v>
      </c>
      <c r="BB10" s="24">
        <v>0.19500000000000001</v>
      </c>
      <c r="BE10" s="112"/>
      <c r="BF10" s="25">
        <v>60000</v>
      </c>
      <c r="BG10" s="26"/>
      <c r="BH10" s="27">
        <v>0.22500000000000001</v>
      </c>
      <c r="BK10" s="112"/>
      <c r="BL10" s="25">
        <v>53407.199999999997</v>
      </c>
      <c r="BM10" s="26"/>
      <c r="BN10" s="27">
        <v>0.215</v>
      </c>
      <c r="BQ10" s="112"/>
      <c r="BR10" s="22">
        <v>120000.2</v>
      </c>
      <c r="BS10" s="23">
        <v>175000.2</v>
      </c>
      <c r="BT10" s="24">
        <v>0.23499999999999999</v>
      </c>
      <c r="BW10" s="112"/>
      <c r="BX10" s="22">
        <v>35200</v>
      </c>
      <c r="BY10" s="23">
        <v>60000</v>
      </c>
      <c r="BZ10" s="24">
        <v>0.20499999999999999</v>
      </c>
      <c r="CC10" s="112"/>
      <c r="CD10" s="22">
        <v>35200</v>
      </c>
      <c r="CE10" s="23">
        <v>47600</v>
      </c>
      <c r="CF10" s="24">
        <v>0.185</v>
      </c>
      <c r="CI10" s="112"/>
      <c r="CJ10" s="25">
        <v>60000</v>
      </c>
      <c r="CK10" s="26"/>
      <c r="CL10" s="27">
        <v>0.23499999999999999</v>
      </c>
      <c r="CO10" s="112"/>
      <c r="CP10" s="22">
        <v>50000</v>
      </c>
      <c r="CQ10" s="23">
        <v>60000</v>
      </c>
      <c r="CR10" s="24">
        <v>0.19500000000000001</v>
      </c>
      <c r="CU10" s="112"/>
      <c r="CV10" s="22">
        <v>50000</v>
      </c>
      <c r="CW10" s="23">
        <v>65000</v>
      </c>
      <c r="CX10" s="24">
        <v>0.23499999999999999</v>
      </c>
      <c r="DA10" s="112"/>
      <c r="DB10" s="25">
        <v>60000</v>
      </c>
      <c r="DC10" s="26"/>
      <c r="DD10" s="27">
        <v>0.22500000000000001</v>
      </c>
      <c r="DG10" s="112"/>
      <c r="DH10" s="25">
        <v>60000</v>
      </c>
      <c r="DI10" s="26"/>
      <c r="DJ10" s="27">
        <v>0.22500000000000001</v>
      </c>
    </row>
    <row r="11" spans="1:116" ht="13.8" thickBot="1">
      <c r="C11" s="112"/>
      <c r="D11" s="101"/>
      <c r="E11" s="101"/>
      <c r="F11" s="101"/>
      <c r="I11" s="112"/>
      <c r="J11" s="101"/>
      <c r="K11" s="101"/>
      <c r="L11" s="101"/>
      <c r="M11" s="101"/>
      <c r="N11" s="120"/>
      <c r="O11" s="112"/>
      <c r="P11" s="22">
        <v>50000</v>
      </c>
      <c r="Q11" s="23">
        <v>60000</v>
      </c>
      <c r="R11" s="24">
        <v>0.19500000000000001</v>
      </c>
      <c r="U11" s="112"/>
      <c r="V11" s="101"/>
      <c r="W11" s="101"/>
      <c r="X11" s="101"/>
      <c r="AA11" s="112"/>
      <c r="AB11" s="22">
        <v>60000</v>
      </c>
      <c r="AC11" s="23">
        <v>70000</v>
      </c>
      <c r="AD11" s="24">
        <v>0.22</v>
      </c>
      <c r="AG11" s="112"/>
      <c r="AH11" s="22">
        <v>70000</v>
      </c>
      <c r="AI11" s="23">
        <v>90000</v>
      </c>
      <c r="AJ11" s="24">
        <v>0.22500000000000001</v>
      </c>
      <c r="AM11" s="112"/>
      <c r="AN11" s="22">
        <v>70000</v>
      </c>
      <c r="AO11" s="23">
        <v>90000</v>
      </c>
      <c r="AP11" s="24">
        <v>0.22</v>
      </c>
      <c r="AS11" s="112"/>
      <c r="AT11" s="25">
        <v>90000.01</v>
      </c>
      <c r="AU11" s="26"/>
      <c r="AV11" s="27">
        <v>0.24</v>
      </c>
      <c r="AY11" s="112"/>
      <c r="AZ11" s="22">
        <v>60000</v>
      </c>
      <c r="BA11" s="23">
        <v>90000</v>
      </c>
      <c r="BB11" s="24">
        <v>0.245</v>
      </c>
      <c r="BE11" s="112"/>
      <c r="BF11" s="101"/>
      <c r="BG11" s="101"/>
      <c r="BH11" s="101"/>
      <c r="BK11" s="112"/>
      <c r="BL11" s="101"/>
      <c r="BM11" s="101"/>
      <c r="BN11" s="101"/>
      <c r="BQ11" s="112"/>
      <c r="BR11" s="25">
        <v>175000.2</v>
      </c>
      <c r="BS11" s="26"/>
      <c r="BT11" s="27">
        <v>0.255</v>
      </c>
      <c r="BW11" s="112"/>
      <c r="BX11" s="22">
        <v>60000</v>
      </c>
      <c r="BY11" s="23">
        <v>80200</v>
      </c>
      <c r="BZ11" s="24">
        <v>0.23499999999999999</v>
      </c>
      <c r="CC11" s="112"/>
      <c r="CD11" s="22">
        <v>47600</v>
      </c>
      <c r="CE11" s="23">
        <v>60000</v>
      </c>
      <c r="CF11" s="24">
        <v>0.20499999999999999</v>
      </c>
      <c r="CI11" s="112"/>
      <c r="CJ11" s="101"/>
      <c r="CK11" s="101"/>
      <c r="CL11" s="101"/>
      <c r="CO11" s="112"/>
      <c r="CP11" s="22">
        <v>60000</v>
      </c>
      <c r="CQ11" s="23">
        <v>120000</v>
      </c>
      <c r="CR11" s="24">
        <v>0.23499999999999999</v>
      </c>
      <c r="CU11" s="112"/>
      <c r="CV11" s="22">
        <v>65000</v>
      </c>
      <c r="CW11" s="23">
        <v>80000</v>
      </c>
      <c r="CX11" s="24">
        <v>0.245</v>
      </c>
      <c r="DA11" s="112"/>
      <c r="DB11" s="101"/>
      <c r="DC11" s="101"/>
      <c r="DD11" s="101"/>
      <c r="DG11" s="112"/>
      <c r="DH11" s="101"/>
      <c r="DI11" s="101"/>
      <c r="DJ11" s="101"/>
    </row>
    <row r="12" spans="1:116" ht="13.8" thickBot="1">
      <c r="C12" s="112"/>
      <c r="D12" s="101"/>
      <c r="E12" s="101"/>
      <c r="F12" s="101"/>
      <c r="I12" s="112"/>
      <c r="J12" s="101"/>
      <c r="K12" s="101"/>
      <c r="L12" s="101"/>
      <c r="M12" s="101"/>
      <c r="N12" s="120"/>
      <c r="O12" s="112"/>
      <c r="P12" s="22">
        <v>60000</v>
      </c>
      <c r="Q12" s="23">
        <v>53407.199999999997</v>
      </c>
      <c r="R12" s="24">
        <v>0.23499999999999999</v>
      </c>
      <c r="U12" s="112"/>
      <c r="V12" s="101"/>
      <c r="W12" s="101"/>
      <c r="X12" s="101"/>
      <c r="AA12" s="112"/>
      <c r="AB12" s="22">
        <v>70000</v>
      </c>
      <c r="AC12" s="23">
        <v>90000</v>
      </c>
      <c r="AD12" s="24">
        <v>0.22500000000000001</v>
      </c>
      <c r="AG12" s="112"/>
      <c r="AH12" s="22">
        <v>90000</v>
      </c>
      <c r="AI12" s="23">
        <v>175000</v>
      </c>
      <c r="AJ12" s="24">
        <v>0.25</v>
      </c>
      <c r="AM12" s="112"/>
      <c r="AN12" s="22">
        <v>90000</v>
      </c>
      <c r="AO12" s="23">
        <v>120000</v>
      </c>
      <c r="AP12" s="24">
        <v>0.23</v>
      </c>
      <c r="AS12" s="112"/>
      <c r="AT12" s="101"/>
      <c r="AU12" s="101"/>
      <c r="AV12" s="101"/>
      <c r="AY12" s="112"/>
      <c r="AZ12" s="25">
        <v>90000</v>
      </c>
      <c r="BA12" s="26"/>
      <c r="BB12" s="27">
        <v>0.255</v>
      </c>
      <c r="BE12" s="112"/>
      <c r="BF12" s="101"/>
      <c r="BG12" s="101"/>
      <c r="BH12" s="101"/>
      <c r="BK12" s="112"/>
      <c r="BL12" s="101"/>
      <c r="BM12" s="101"/>
      <c r="BN12" s="101"/>
      <c r="BQ12" s="112"/>
      <c r="BR12" s="101"/>
      <c r="BS12" s="101"/>
      <c r="BT12" s="101"/>
      <c r="BW12" s="112"/>
      <c r="BX12" s="22">
        <v>80200</v>
      </c>
      <c r="BY12" s="23">
        <v>99200</v>
      </c>
      <c r="BZ12" s="24">
        <v>0.24</v>
      </c>
      <c r="CC12" s="112"/>
      <c r="CD12" s="25">
        <v>60000</v>
      </c>
      <c r="CE12" s="26"/>
      <c r="CF12" s="27">
        <v>0.22500000000000001</v>
      </c>
      <c r="CI12" s="112"/>
      <c r="CJ12" s="101"/>
      <c r="CK12" s="101"/>
      <c r="CL12" s="101"/>
      <c r="CO12" s="112"/>
      <c r="CP12" s="25">
        <v>120000</v>
      </c>
      <c r="CQ12" s="26"/>
      <c r="CR12" s="27">
        <v>0.255</v>
      </c>
      <c r="CU12" s="112"/>
      <c r="CV12" s="22">
        <v>80000</v>
      </c>
      <c r="CW12" s="23">
        <v>120000</v>
      </c>
      <c r="CX12" s="24">
        <v>0.25</v>
      </c>
      <c r="DA12" s="112"/>
      <c r="DB12" s="101"/>
      <c r="DC12" s="101"/>
      <c r="DD12" s="101"/>
      <c r="DG12" s="112"/>
      <c r="DH12" s="101"/>
      <c r="DI12" s="101"/>
      <c r="DJ12" s="101"/>
    </row>
    <row r="13" spans="1:116" ht="13.8" thickBot="1">
      <c r="C13" s="112"/>
      <c r="D13" s="337" t="s">
        <v>13</v>
      </c>
      <c r="E13" s="339"/>
      <c r="F13" s="101"/>
      <c r="I13" s="112"/>
      <c r="J13" s="337" t="s">
        <v>13</v>
      </c>
      <c r="K13" s="339"/>
      <c r="L13" s="101"/>
      <c r="M13" s="101"/>
      <c r="N13" s="120"/>
      <c r="O13" s="112"/>
      <c r="P13" s="25">
        <v>120000</v>
      </c>
      <c r="Q13" s="26"/>
      <c r="R13" s="27">
        <v>0.255</v>
      </c>
      <c r="U13" s="112"/>
      <c r="V13" s="337" t="s">
        <v>13</v>
      </c>
      <c r="W13" s="339"/>
      <c r="X13" s="101"/>
      <c r="AA13" s="112"/>
      <c r="AB13" s="22">
        <v>90000</v>
      </c>
      <c r="AC13" s="23">
        <v>130000</v>
      </c>
      <c r="AD13" s="24">
        <v>0.23499999999999999</v>
      </c>
      <c r="AG13" s="112"/>
      <c r="AH13" s="25">
        <v>175000</v>
      </c>
      <c r="AI13" s="26"/>
      <c r="AJ13" s="27">
        <v>0.255</v>
      </c>
      <c r="AM13" s="112"/>
      <c r="AN13" s="22">
        <v>120000</v>
      </c>
      <c r="AO13" s="23">
        <v>175000</v>
      </c>
      <c r="AP13" s="24">
        <v>0.24</v>
      </c>
      <c r="AS13" s="112"/>
      <c r="AT13" s="101"/>
      <c r="AU13" s="101"/>
      <c r="AV13" s="101"/>
      <c r="AY13" s="112"/>
      <c r="AZ13" s="101"/>
      <c r="BA13" s="101"/>
      <c r="BB13" s="101"/>
      <c r="BE13" s="112"/>
      <c r="BF13" s="337" t="s">
        <v>13</v>
      </c>
      <c r="BG13" s="339"/>
      <c r="BH13" s="101"/>
      <c r="BK13" s="112"/>
      <c r="BL13" s="337" t="s">
        <v>13</v>
      </c>
      <c r="BM13" s="339"/>
      <c r="BN13" s="101"/>
      <c r="BQ13" s="112"/>
      <c r="BR13" s="101"/>
      <c r="BS13" s="101"/>
      <c r="BT13" s="101"/>
      <c r="BW13" s="112"/>
      <c r="BX13" s="22">
        <v>99200</v>
      </c>
      <c r="BY13" s="23">
        <v>120000</v>
      </c>
      <c r="BZ13" s="24">
        <v>0.245</v>
      </c>
      <c r="CC13" s="112"/>
      <c r="CD13" s="101"/>
      <c r="CE13" s="101"/>
      <c r="CF13" s="101"/>
      <c r="CI13" s="112"/>
      <c r="CJ13" s="337" t="s">
        <v>13</v>
      </c>
      <c r="CK13" s="339"/>
      <c r="CL13" s="101"/>
      <c r="CO13" s="112"/>
      <c r="CP13" s="101"/>
      <c r="CQ13" s="101"/>
      <c r="CR13" s="101"/>
      <c r="CU13" s="112"/>
      <c r="CV13" s="25">
        <v>120000</v>
      </c>
      <c r="CW13" s="26"/>
      <c r="CX13" s="27">
        <v>0.255</v>
      </c>
      <c r="DA13" s="112"/>
      <c r="DB13" s="337" t="s">
        <v>13</v>
      </c>
      <c r="DC13" s="339"/>
      <c r="DD13" s="101"/>
      <c r="DG13" s="112"/>
      <c r="DH13" s="337" t="s">
        <v>13</v>
      </c>
      <c r="DI13" s="339"/>
      <c r="DJ13" s="101"/>
    </row>
    <row r="14" spans="1:116" ht="13.8" thickBot="1">
      <c r="C14" s="112"/>
      <c r="D14" s="28">
        <f>C15-C16</f>
        <v>8100</v>
      </c>
      <c r="E14" s="14">
        <f>D14*F6</f>
        <v>769.5</v>
      </c>
      <c r="F14" s="101"/>
      <c r="I14" s="112"/>
      <c r="J14" s="28">
        <f>I15-I16</f>
        <v>8100</v>
      </c>
      <c r="K14" s="14">
        <f>J14*L6</f>
        <v>769.5</v>
      </c>
      <c r="L14" s="101"/>
      <c r="M14" s="101"/>
      <c r="N14" s="120"/>
      <c r="O14" s="112"/>
      <c r="P14" s="101"/>
      <c r="Q14" s="101"/>
      <c r="R14" s="101"/>
      <c r="U14" s="112"/>
      <c r="V14" s="28">
        <f>U15-U16</f>
        <v>8100</v>
      </c>
      <c r="W14" s="14">
        <f>V14*X6</f>
        <v>769.5</v>
      </c>
      <c r="X14" s="101"/>
      <c r="AA14" s="112"/>
      <c r="AB14" s="22">
        <v>130000</v>
      </c>
      <c r="AC14" s="23">
        <v>150000</v>
      </c>
      <c r="AD14" s="24">
        <v>0.245</v>
      </c>
      <c r="AG14" s="112"/>
      <c r="AH14" s="101"/>
      <c r="AI14" s="101"/>
      <c r="AJ14" s="101"/>
      <c r="AM14" s="112"/>
      <c r="AN14" s="25">
        <v>175000</v>
      </c>
      <c r="AO14" s="26"/>
      <c r="AP14" s="27">
        <v>0.25</v>
      </c>
      <c r="AS14" s="112"/>
      <c r="AT14" s="373" t="s">
        <v>13</v>
      </c>
      <c r="AU14" s="374"/>
      <c r="AV14" s="101"/>
      <c r="AY14" s="112"/>
      <c r="AZ14" s="101"/>
      <c r="BA14" s="101"/>
      <c r="BB14" s="101"/>
      <c r="BE14" s="112"/>
      <c r="BF14" s="28">
        <f>BE15-BE16</f>
        <v>8100</v>
      </c>
      <c r="BG14" s="14">
        <f>BF14*BH6</f>
        <v>769.5</v>
      </c>
      <c r="BH14" s="101"/>
      <c r="BK14" s="112"/>
      <c r="BL14" s="28">
        <f>BK15-BK16</f>
        <v>8100</v>
      </c>
      <c r="BM14" s="14">
        <f>BL14*BN6</f>
        <v>769.5</v>
      </c>
      <c r="BN14" s="101"/>
      <c r="BQ14" s="112"/>
      <c r="BR14" s="373" t="s">
        <v>13</v>
      </c>
      <c r="BS14" s="374"/>
      <c r="BT14" s="101"/>
      <c r="BW14" s="112"/>
      <c r="BX14" s="25">
        <v>120000</v>
      </c>
      <c r="BY14" s="26"/>
      <c r="BZ14" s="27">
        <v>0.25</v>
      </c>
      <c r="CC14" s="112"/>
      <c r="CD14" s="101"/>
      <c r="CE14" s="101"/>
      <c r="CF14" s="101"/>
      <c r="CI14" s="112"/>
      <c r="CJ14" s="28">
        <f>CI15-CI16</f>
        <v>8100</v>
      </c>
      <c r="CK14" s="14">
        <f>CJ14*CL6</f>
        <v>810</v>
      </c>
      <c r="CL14" s="101"/>
      <c r="CO14" s="112"/>
      <c r="CP14" s="101"/>
      <c r="CQ14" s="101"/>
      <c r="CR14" s="101"/>
      <c r="CU14" s="112"/>
      <c r="CV14" s="101"/>
      <c r="CW14" s="101"/>
      <c r="CX14" s="101"/>
      <c r="DA14" s="112"/>
      <c r="DB14" s="28">
        <f>DA15-DA16</f>
        <v>8100</v>
      </c>
      <c r="DC14" s="14">
        <f>DB14*DD6</f>
        <v>769.5</v>
      </c>
      <c r="DD14" s="101"/>
      <c r="DG14" s="112"/>
      <c r="DH14" s="28">
        <f>DG15-DG16</f>
        <v>8100</v>
      </c>
      <c r="DI14" s="14">
        <f>DH14*DJ6</f>
        <v>769.5</v>
      </c>
      <c r="DJ14" s="101"/>
    </row>
    <row r="15" spans="1:116" ht="13.8" thickBot="1">
      <c r="A15" s="1">
        <f>'2018 (12 Pagas)'!D26</f>
        <v>8100</v>
      </c>
      <c r="B15" s="1"/>
      <c r="C15" s="112">
        <f>IF(($A$15-D6)&lt;0,0,($A$15-D6))</f>
        <v>8100</v>
      </c>
      <c r="D15" s="29">
        <f>C16-C17</f>
        <v>0</v>
      </c>
      <c r="E15" s="13">
        <f>D15*F7</f>
        <v>0</v>
      </c>
      <c r="F15" s="101"/>
      <c r="I15" s="112">
        <f>IF(($A$15-J6)&lt;0,0,($A$15-J6))</f>
        <v>8100</v>
      </c>
      <c r="J15" s="29">
        <f>I16-I17</f>
        <v>0</v>
      </c>
      <c r="K15" s="13">
        <f>J15*L7</f>
        <v>0</v>
      </c>
      <c r="L15" s="101"/>
      <c r="M15" s="101"/>
      <c r="N15" s="120"/>
      <c r="O15" s="112"/>
      <c r="P15" s="101"/>
      <c r="Q15" s="101"/>
      <c r="R15" s="101"/>
      <c r="U15" s="112">
        <f>IF(($A$15-V6)&lt;0,0,($A$15-V6))</f>
        <v>8100</v>
      </c>
      <c r="V15" s="29">
        <f>U16-U17</f>
        <v>0</v>
      </c>
      <c r="W15" s="13">
        <f>V15*X7</f>
        <v>0</v>
      </c>
      <c r="X15" s="101"/>
      <c r="AA15" s="112"/>
      <c r="AB15" s="25">
        <v>150000</v>
      </c>
      <c r="AC15" s="26"/>
      <c r="AD15" s="27">
        <v>0.25</v>
      </c>
      <c r="AG15" s="112"/>
      <c r="AH15" s="101"/>
      <c r="AI15" s="101"/>
      <c r="AJ15" s="101"/>
      <c r="AM15" s="112"/>
      <c r="AN15" s="101"/>
      <c r="AO15" s="101"/>
      <c r="AP15" s="101"/>
      <c r="AS15" s="112"/>
      <c r="AT15" s="28">
        <f t="shared" ref="AT15:AT20" si="0">AS16-AS17</f>
        <v>8100</v>
      </c>
      <c r="AU15" s="14">
        <f t="shared" ref="AU15:AU20" si="1">AT15*AV6</f>
        <v>769.5</v>
      </c>
      <c r="AV15" s="101"/>
      <c r="AY15" s="112"/>
      <c r="AZ15" s="373" t="s">
        <v>13</v>
      </c>
      <c r="BA15" s="374"/>
      <c r="BB15" s="101"/>
      <c r="BE15" s="112">
        <f>IF(($A$15-BF6)&lt;0,0,($A$15-BF6))</f>
        <v>8100</v>
      </c>
      <c r="BF15" s="29">
        <f>BE16-BE17</f>
        <v>0</v>
      </c>
      <c r="BG15" s="13">
        <f>BF15*BH7</f>
        <v>0</v>
      </c>
      <c r="BH15" s="101"/>
      <c r="BK15" s="112">
        <f>IF(($A$15-BL6)&lt;0,0,($A$15-BL6))</f>
        <v>8100</v>
      </c>
      <c r="BL15" s="29">
        <f>BK16-BK17</f>
        <v>0</v>
      </c>
      <c r="BM15" s="13">
        <f>BL15*BN7</f>
        <v>0</v>
      </c>
      <c r="BN15" s="101"/>
      <c r="BQ15" s="112"/>
      <c r="BR15" s="28">
        <f t="shared" ref="BR15:BR20" si="2">BQ16-BQ17</f>
        <v>8100</v>
      </c>
      <c r="BS15" s="14">
        <f t="shared" ref="BS15:BS20" si="3">BR15*BT6</f>
        <v>972</v>
      </c>
      <c r="BT15" s="101"/>
      <c r="BW15" s="112"/>
      <c r="BX15" s="101"/>
      <c r="BY15" s="101"/>
      <c r="BZ15" s="101"/>
      <c r="CC15" s="112"/>
      <c r="CD15" s="373" t="s">
        <v>13</v>
      </c>
      <c r="CE15" s="374"/>
      <c r="CF15" s="101"/>
      <c r="CI15" s="112">
        <f>IF(($A$15-CJ6)&lt;0,0,($A$15-CJ6))</f>
        <v>8100</v>
      </c>
      <c r="CJ15" s="29">
        <f>CI16-CI17</f>
        <v>0</v>
      </c>
      <c r="CK15" s="13">
        <f>CJ15*CL7</f>
        <v>0</v>
      </c>
      <c r="CL15" s="101"/>
      <c r="CO15" s="112"/>
      <c r="CP15" s="373" t="s">
        <v>13</v>
      </c>
      <c r="CQ15" s="374"/>
      <c r="CR15" s="101"/>
      <c r="CU15" s="112"/>
      <c r="CV15" s="101"/>
      <c r="CW15" s="101"/>
      <c r="CX15" s="101"/>
      <c r="DA15" s="112">
        <f>IF(($A$15-DB6)&lt;0,0,($A$15-DB6))</f>
        <v>8100</v>
      </c>
      <c r="DB15" s="29">
        <f>DA16-DA17</f>
        <v>0</v>
      </c>
      <c r="DC15" s="13">
        <f>DB15*DD7</f>
        <v>0</v>
      </c>
      <c r="DD15" s="101"/>
      <c r="DG15" s="112">
        <f>IF(($A$15-DH6)&lt;0,0,($A$15-DH6))</f>
        <v>8100</v>
      </c>
      <c r="DH15" s="29">
        <f>DG16-DG17</f>
        <v>0</v>
      </c>
      <c r="DI15" s="13">
        <f>DH15*DJ7</f>
        <v>0</v>
      </c>
      <c r="DJ15" s="101"/>
    </row>
    <row r="16" spans="1:116" ht="13.8" thickBot="1">
      <c r="C16" s="112">
        <f>IF(($A$15-D7)&lt;0,0,($A$15-D7))</f>
        <v>0</v>
      </c>
      <c r="D16" s="29">
        <f>C17-C18</f>
        <v>0</v>
      </c>
      <c r="E16" s="13">
        <f>D16*F8</f>
        <v>0</v>
      </c>
      <c r="F16" s="101"/>
      <c r="I16" s="112">
        <f>IF(($A$15-J7)&lt;0,0,($A$15-J7))</f>
        <v>0</v>
      </c>
      <c r="J16" s="29">
        <f>I17-I18</f>
        <v>0</v>
      </c>
      <c r="K16" s="13">
        <f>J16*L8</f>
        <v>0</v>
      </c>
      <c r="L16" s="101"/>
      <c r="M16" s="101"/>
      <c r="N16" s="120"/>
      <c r="O16" s="112"/>
      <c r="P16" s="373" t="s">
        <v>13</v>
      </c>
      <c r="Q16" s="374"/>
      <c r="R16" s="101"/>
      <c r="U16" s="112">
        <f>IF(($A$15-V7)&lt;0,0,($A$15-V7))</f>
        <v>0</v>
      </c>
      <c r="V16" s="29">
        <f>U17-U18</f>
        <v>0</v>
      </c>
      <c r="W16" s="13">
        <f>V16*X8</f>
        <v>0</v>
      </c>
      <c r="X16" s="101"/>
      <c r="AA16" s="112"/>
      <c r="AB16" s="101"/>
      <c r="AC16" s="101"/>
      <c r="AD16" s="101"/>
      <c r="AG16" s="112"/>
      <c r="AH16" s="373" t="s">
        <v>13</v>
      </c>
      <c r="AI16" s="374"/>
      <c r="AJ16" s="101"/>
      <c r="AM16" s="112"/>
      <c r="AN16" s="101"/>
      <c r="AO16" s="101"/>
      <c r="AP16" s="101"/>
      <c r="AS16" s="112">
        <f t="shared" ref="AS16:AS21" si="4">IF(($A$15-AT6)&lt;0,0,($A$15-AT6))</f>
        <v>8100</v>
      </c>
      <c r="AT16" s="29">
        <f t="shared" si="0"/>
        <v>0</v>
      </c>
      <c r="AU16" s="13">
        <f t="shared" si="1"/>
        <v>0</v>
      </c>
      <c r="AV16" s="101"/>
      <c r="AY16" s="112"/>
      <c r="AZ16" s="28">
        <f>AY17-AY18</f>
        <v>8100</v>
      </c>
      <c r="BA16" s="14">
        <f>AZ16*BB6</f>
        <v>769.5</v>
      </c>
      <c r="BB16" s="101"/>
      <c r="BE16" s="112">
        <f>IF(($A$15-BF7)&lt;0,0,($A$15-BF7))</f>
        <v>0</v>
      </c>
      <c r="BF16" s="29">
        <f>BE17-BE18</f>
        <v>0</v>
      </c>
      <c r="BG16" s="13">
        <f>BF16*BH8</f>
        <v>0</v>
      </c>
      <c r="BH16" s="101"/>
      <c r="BK16" s="112">
        <f>IF(($A$15-BL7)&lt;0,0,($A$15-BL7))</f>
        <v>0</v>
      </c>
      <c r="BL16" s="29">
        <f>BK17-BK18</f>
        <v>0</v>
      </c>
      <c r="BM16" s="13">
        <f>BL16*BN8</f>
        <v>0</v>
      </c>
      <c r="BN16" s="101"/>
      <c r="BQ16" s="112">
        <f t="shared" ref="BQ16:BQ21" si="5">IF(($A$15-BR6)&lt;0,0,($A$15-BR6))</f>
        <v>8100</v>
      </c>
      <c r="BR16" s="29">
        <f t="shared" si="2"/>
        <v>0</v>
      </c>
      <c r="BS16" s="13">
        <f t="shared" si="3"/>
        <v>0</v>
      </c>
      <c r="BT16" s="101"/>
      <c r="BW16" s="112"/>
      <c r="BX16" s="101"/>
      <c r="BY16" s="101"/>
      <c r="BZ16" s="101"/>
      <c r="CC16" s="112"/>
      <c r="CD16" s="28">
        <f>CC17-CC18</f>
        <v>8100</v>
      </c>
      <c r="CE16" s="14">
        <f>CD16*CF6</f>
        <v>769.5</v>
      </c>
      <c r="CF16" s="101"/>
      <c r="CI16" s="112">
        <f>IF(($A$15-CJ7)&lt;0,0,($A$15-CJ7))</f>
        <v>0</v>
      </c>
      <c r="CJ16" s="29">
        <f>CI17-CI18</f>
        <v>0</v>
      </c>
      <c r="CK16" s="13">
        <f>CJ16*CL8</f>
        <v>0</v>
      </c>
      <c r="CL16" s="101"/>
      <c r="CO16" s="112"/>
      <c r="CP16" s="28">
        <f>CO17-CO18</f>
        <v>8100</v>
      </c>
      <c r="CQ16" s="14">
        <f>CP16*CR6</f>
        <v>769.5</v>
      </c>
      <c r="CR16" s="101"/>
      <c r="CU16" s="112"/>
      <c r="CV16" s="373" t="s">
        <v>13</v>
      </c>
      <c r="CW16" s="374"/>
      <c r="CX16" s="101"/>
      <c r="DA16" s="112">
        <f>IF(($A$15-DB7)&lt;0,0,($A$15-DB7))</f>
        <v>0</v>
      </c>
      <c r="DB16" s="29">
        <f>DA17-DA18</f>
        <v>0</v>
      </c>
      <c r="DC16" s="13">
        <f>DB16*DD8</f>
        <v>0</v>
      </c>
      <c r="DD16" s="101"/>
      <c r="DG16" s="112">
        <f>IF(($A$15-DH7)&lt;0,0,($A$15-DH7))</f>
        <v>0</v>
      </c>
      <c r="DH16" s="29">
        <f>DG17-DG18</f>
        <v>0</v>
      </c>
      <c r="DI16" s="13">
        <f>DH16*DJ8</f>
        <v>0</v>
      </c>
      <c r="DJ16" s="101"/>
    </row>
    <row r="17" spans="1:116" ht="13.8" thickBot="1">
      <c r="C17" s="112">
        <f>IF(($A$15-D8)&lt;0,0,($A$15-D8))</f>
        <v>0</v>
      </c>
      <c r="D17" s="29">
        <f>C18-C19</f>
        <v>0</v>
      </c>
      <c r="E17" s="13">
        <f>D17*F9</f>
        <v>0</v>
      </c>
      <c r="F17" s="101"/>
      <c r="I17" s="112">
        <f>IF(($A$15-J8)&lt;0,0,($A$15-J8))</f>
        <v>0</v>
      </c>
      <c r="J17" s="29">
        <f>I18-I19</f>
        <v>0</v>
      </c>
      <c r="K17" s="13">
        <f>J17*L9</f>
        <v>0</v>
      </c>
      <c r="L17" s="101"/>
      <c r="M17" s="101"/>
      <c r="N17" s="120"/>
      <c r="O17" s="112"/>
      <c r="P17" s="28">
        <f>O18-O19</f>
        <v>8100</v>
      </c>
      <c r="Q17" s="14">
        <f>P17*R6</f>
        <v>810</v>
      </c>
      <c r="R17" s="101"/>
      <c r="U17" s="112">
        <f>IF(($A$15-V8)&lt;0,0,($A$15-V8))</f>
        <v>0</v>
      </c>
      <c r="V17" s="29">
        <f>U18-U19</f>
        <v>0</v>
      </c>
      <c r="W17" s="13">
        <f>V17*X9</f>
        <v>0</v>
      </c>
      <c r="X17" s="101"/>
      <c r="AA17" s="112"/>
      <c r="AB17" s="101"/>
      <c r="AC17" s="101"/>
      <c r="AD17" s="101"/>
      <c r="AG17" s="112"/>
      <c r="AH17" s="28">
        <f>AG18-AG19</f>
        <v>8100</v>
      </c>
      <c r="AI17" s="14">
        <f>AH17*AJ6</f>
        <v>810</v>
      </c>
      <c r="AJ17" s="101"/>
      <c r="AM17" s="112"/>
      <c r="AN17" s="373" t="s">
        <v>13</v>
      </c>
      <c r="AO17" s="374"/>
      <c r="AP17" s="101"/>
      <c r="AS17" s="112">
        <f t="shared" si="4"/>
        <v>0</v>
      </c>
      <c r="AT17" s="29">
        <f t="shared" si="0"/>
        <v>0</v>
      </c>
      <c r="AU17" s="13">
        <f t="shared" si="1"/>
        <v>0</v>
      </c>
      <c r="AV17" s="101"/>
      <c r="AY17" s="112">
        <f>IF(($A$15-AZ6)&lt;0,0,($A$15-AZ6))</f>
        <v>8100</v>
      </c>
      <c r="AZ17" s="29">
        <f t="shared" ref="AZ17:AZ22" si="6">AY18-AY19</f>
        <v>0</v>
      </c>
      <c r="BA17" s="13">
        <f t="shared" ref="BA17:BA22" si="7">AZ17*BB7</f>
        <v>0</v>
      </c>
      <c r="BB17" s="101"/>
      <c r="BE17" s="112">
        <f>IF(($A$15-BF8)&lt;0,0,($A$15-BF8))</f>
        <v>0</v>
      </c>
      <c r="BF17" s="29">
        <f>BE18-BE19</f>
        <v>0</v>
      </c>
      <c r="BG17" s="13">
        <f>BF17*BH9</f>
        <v>0</v>
      </c>
      <c r="BH17" s="101"/>
      <c r="BK17" s="112">
        <f>IF(($A$15-BL8)&lt;0,0,($A$15-BL8))</f>
        <v>0</v>
      </c>
      <c r="BL17" s="29">
        <f>BK18-BK19</f>
        <v>0</v>
      </c>
      <c r="BM17" s="13">
        <f>BL17*BN9</f>
        <v>0</v>
      </c>
      <c r="BN17" s="101"/>
      <c r="BQ17" s="112">
        <f t="shared" si="5"/>
        <v>0</v>
      </c>
      <c r="BR17" s="29">
        <f t="shared" si="2"/>
        <v>0</v>
      </c>
      <c r="BS17" s="13">
        <f t="shared" si="3"/>
        <v>0</v>
      </c>
      <c r="BT17" s="101"/>
      <c r="BW17" s="112"/>
      <c r="BX17" s="373" t="s">
        <v>13</v>
      </c>
      <c r="BY17" s="374"/>
      <c r="BZ17" s="101"/>
      <c r="CC17" s="112">
        <f>IF(($A$15-CD6)&lt;0,0,($A$15-CD6))</f>
        <v>8100</v>
      </c>
      <c r="CD17" s="29">
        <f t="shared" ref="CD17:CD22" si="8">CC18-CC19</f>
        <v>0</v>
      </c>
      <c r="CE17" s="13">
        <f t="shared" ref="CE17:CE22" si="9">CD17*CF7</f>
        <v>0</v>
      </c>
      <c r="CF17" s="101"/>
      <c r="CI17" s="112">
        <f>IF(($A$15-CJ8)&lt;0,0,($A$15-CJ8))</f>
        <v>0</v>
      </c>
      <c r="CJ17" s="29">
        <f>CI18-CI19</f>
        <v>0</v>
      </c>
      <c r="CK17" s="13">
        <f>CJ17*CL9</f>
        <v>0</v>
      </c>
      <c r="CL17" s="101"/>
      <c r="CO17" s="112">
        <f>IF(($A$15-CP6)&lt;0,0,($A$15-CP6))</f>
        <v>8100</v>
      </c>
      <c r="CP17" s="29">
        <f t="shared" ref="CP17:CP22" si="10">CO18-CO19</f>
        <v>0</v>
      </c>
      <c r="CQ17" s="13">
        <f t="shared" ref="CQ17:CQ22" si="11">CP17*CR7</f>
        <v>0</v>
      </c>
      <c r="CR17" s="101"/>
      <c r="CU17" s="112"/>
      <c r="CV17" s="28">
        <f>CU18-CU19</f>
        <v>8100</v>
      </c>
      <c r="CW17" s="14">
        <f>CV17*CX6</f>
        <v>810</v>
      </c>
      <c r="CX17" s="101"/>
      <c r="DA17" s="112">
        <f>IF(($A$15-DB8)&lt;0,0,($A$15-DB8))</f>
        <v>0</v>
      </c>
      <c r="DB17" s="29">
        <f>DA18-DA19</f>
        <v>0</v>
      </c>
      <c r="DC17" s="13">
        <f>DB17*DD9</f>
        <v>0</v>
      </c>
      <c r="DD17" s="101"/>
      <c r="DG17" s="112">
        <f>IF(($A$15-DH8)&lt;0,0,($A$15-DH8))</f>
        <v>0</v>
      </c>
      <c r="DH17" s="29">
        <f>DG18-DG19</f>
        <v>0</v>
      </c>
      <c r="DI17" s="13">
        <f>DH17*DJ9</f>
        <v>0</v>
      </c>
      <c r="DJ17" s="101"/>
    </row>
    <row r="18" spans="1:116" ht="13.8" thickBot="1">
      <c r="C18" s="112">
        <f>IF(($A$15-D9)&lt;0,0,($A$15-D9))</f>
        <v>0</v>
      </c>
      <c r="D18" s="29">
        <f>C19</f>
        <v>0</v>
      </c>
      <c r="E18" s="13">
        <f>D18*F10</f>
        <v>0</v>
      </c>
      <c r="F18" s="113"/>
      <c r="I18" s="112">
        <f>IF(($A$15-J9)&lt;0,0,($A$15-J9))</f>
        <v>0</v>
      </c>
      <c r="J18" s="29">
        <f>I19</f>
        <v>0</v>
      </c>
      <c r="K18" s="13">
        <f>J18*L10</f>
        <v>0</v>
      </c>
      <c r="L18" s="113"/>
      <c r="M18" s="113"/>
      <c r="N18" s="121"/>
      <c r="O18" s="112">
        <f>IF(($A$15-P6)&lt;0,0,($A$15-P6))</f>
        <v>8100</v>
      </c>
      <c r="P18" s="29">
        <f t="shared" ref="P18:P24" si="12">O19-O20</f>
        <v>0</v>
      </c>
      <c r="Q18" s="13">
        <f t="shared" ref="Q18:Q24" si="13">P18*R7</f>
        <v>0</v>
      </c>
      <c r="R18" s="101"/>
      <c r="U18" s="112">
        <f>IF(($A$15-V9)&lt;0,0,($A$15-V9))</f>
        <v>0</v>
      </c>
      <c r="V18" s="29">
        <f>U19</f>
        <v>0</v>
      </c>
      <c r="W18" s="13">
        <f>V18*X10</f>
        <v>0</v>
      </c>
      <c r="X18" s="113"/>
      <c r="AA18" s="112"/>
      <c r="AB18" s="373" t="s">
        <v>13</v>
      </c>
      <c r="AC18" s="374"/>
      <c r="AD18" s="101"/>
      <c r="AG18" s="112">
        <f>IF(($A$15-AH6)&lt;0,0,($A$15-AH6))</f>
        <v>8100</v>
      </c>
      <c r="AH18" s="29">
        <f t="shared" ref="AH18:AH24" si="14">AG19-AG20</f>
        <v>0</v>
      </c>
      <c r="AI18" s="13">
        <f t="shared" ref="AI18:AI24" si="15">AH18*AJ7</f>
        <v>0</v>
      </c>
      <c r="AJ18" s="101"/>
      <c r="AM18" s="112"/>
      <c r="AN18" s="28">
        <f>AM19-AM20</f>
        <v>8100</v>
      </c>
      <c r="AO18" s="14">
        <f>AN18*AP6</f>
        <v>769.5</v>
      </c>
      <c r="AP18" s="101"/>
      <c r="AS18" s="112">
        <f t="shared" si="4"/>
        <v>0</v>
      </c>
      <c r="AT18" s="29">
        <f t="shared" si="0"/>
        <v>0</v>
      </c>
      <c r="AU18" s="13">
        <f t="shared" si="1"/>
        <v>0</v>
      </c>
      <c r="AV18" s="101"/>
      <c r="AY18" s="112">
        <f t="shared" ref="AY18:AY23" si="16">IF(($A$15-AZ7)&lt;0,0,($A$15-AZ7))</f>
        <v>0</v>
      </c>
      <c r="AZ18" s="29">
        <f t="shared" si="6"/>
        <v>0</v>
      </c>
      <c r="BA18" s="13">
        <f t="shared" si="7"/>
        <v>0</v>
      </c>
      <c r="BB18" s="101"/>
      <c r="BE18" s="112">
        <f>IF(($A$15-BF9)&lt;0,0,($A$15-BF9))</f>
        <v>0</v>
      </c>
      <c r="BF18" s="29">
        <f>BE19</f>
        <v>0</v>
      </c>
      <c r="BG18" s="13">
        <f>BF18*BH10</f>
        <v>0</v>
      </c>
      <c r="BH18" s="113"/>
      <c r="BK18" s="112">
        <f>IF(($A$15-BL9)&lt;0,0,($A$15-BL9))</f>
        <v>0</v>
      </c>
      <c r="BL18" s="29">
        <f>BK19</f>
        <v>0</v>
      </c>
      <c r="BM18" s="13">
        <f>BL18*BN10</f>
        <v>0</v>
      </c>
      <c r="BN18" s="113"/>
      <c r="BQ18" s="112">
        <f t="shared" si="5"/>
        <v>0</v>
      </c>
      <c r="BR18" s="29">
        <f t="shared" si="2"/>
        <v>0</v>
      </c>
      <c r="BS18" s="13">
        <f t="shared" si="3"/>
        <v>0</v>
      </c>
      <c r="BT18" s="101"/>
      <c r="BW18" s="112"/>
      <c r="BX18" s="28">
        <f>BW19-BW20</f>
        <v>8100</v>
      </c>
      <c r="BY18" s="14">
        <f>BX18*BZ6</f>
        <v>850.5</v>
      </c>
      <c r="BZ18" s="101"/>
      <c r="CC18" s="112">
        <f t="shared" ref="CC18:CC23" si="17">IF(($A$15-CD7)&lt;0,0,($A$15-CD7))</f>
        <v>0</v>
      </c>
      <c r="CD18" s="29">
        <f t="shared" si="8"/>
        <v>0</v>
      </c>
      <c r="CE18" s="13">
        <f t="shared" si="9"/>
        <v>0</v>
      </c>
      <c r="CF18" s="101"/>
      <c r="CI18" s="112">
        <f>IF(($A$15-CJ9)&lt;0,0,($A$15-CJ9))</f>
        <v>0</v>
      </c>
      <c r="CJ18" s="29">
        <f>CI19</f>
        <v>0</v>
      </c>
      <c r="CK18" s="13">
        <f>CJ18*CL10</f>
        <v>0</v>
      </c>
      <c r="CL18" s="113"/>
      <c r="CO18" s="112">
        <f t="shared" ref="CO18:CO23" si="18">IF(($A$15-CP7)&lt;0,0,($A$15-CP7))</f>
        <v>0</v>
      </c>
      <c r="CP18" s="29">
        <f t="shared" si="10"/>
        <v>0</v>
      </c>
      <c r="CQ18" s="13">
        <f t="shared" si="11"/>
        <v>0</v>
      </c>
      <c r="CR18" s="101"/>
      <c r="CU18" s="112">
        <f>IF(($A$15-CV6)&lt;0,0,($A$15-CV6))</f>
        <v>8100</v>
      </c>
      <c r="CV18" s="29">
        <f t="shared" ref="CV18:CV24" si="19">CU19-CU20</f>
        <v>0</v>
      </c>
      <c r="CW18" s="13">
        <f t="shared" ref="CW18:CW24" si="20">CV18*CX7</f>
        <v>0</v>
      </c>
      <c r="CX18" s="101"/>
      <c r="DA18" s="112">
        <f>IF(($A$15-DB9)&lt;0,0,($A$15-DB9))</f>
        <v>0</v>
      </c>
      <c r="DB18" s="29">
        <f>DA19</f>
        <v>0</v>
      </c>
      <c r="DC18" s="13">
        <f>DB18*DD10</f>
        <v>0</v>
      </c>
      <c r="DD18" s="113"/>
      <c r="DG18" s="112">
        <f>IF(($A$15-DH9)&lt;0,0,($A$15-DH9))</f>
        <v>0</v>
      </c>
      <c r="DH18" s="29">
        <f>DG19</f>
        <v>0</v>
      </c>
      <c r="DI18" s="13">
        <f>DH18*DJ10</f>
        <v>0</v>
      </c>
      <c r="DJ18" s="113"/>
    </row>
    <row r="19" spans="1:116" ht="13.8" thickBot="1">
      <c r="C19" s="112">
        <f>IF(($A$15-D10)&lt;0,0,($A$15-D10))</f>
        <v>0</v>
      </c>
      <c r="D19" s="30" t="s">
        <v>0</v>
      </c>
      <c r="E19" s="15">
        <f>SUM(E14:E18)</f>
        <v>769.5</v>
      </c>
      <c r="G19" s="114">
        <f>IF(F$3=1,E19,0)</f>
        <v>769.5</v>
      </c>
      <c r="I19" s="112">
        <f>IF(($A$15-J10)&lt;0,0,($A$15-J10))</f>
        <v>0</v>
      </c>
      <c r="J19" s="30" t="s">
        <v>0</v>
      </c>
      <c r="K19" s="15">
        <f>SUM(K14:K18)</f>
        <v>769.5</v>
      </c>
      <c r="M19" s="114">
        <f>IF(L$3=1,K19,0)</f>
        <v>0</v>
      </c>
      <c r="N19" s="120"/>
      <c r="O19" s="112">
        <f t="shared" ref="O19:O25" si="21">IF(($A$15-P7)&lt;0,0,(A$15-P7))</f>
        <v>0</v>
      </c>
      <c r="P19" s="29">
        <f t="shared" si="12"/>
        <v>0</v>
      </c>
      <c r="Q19" s="13">
        <f t="shared" si="13"/>
        <v>0</v>
      </c>
      <c r="R19" s="101"/>
      <c r="U19" s="112">
        <f>IF(($A$15-V10)&lt;0,0,($A$15-V10))</f>
        <v>0</v>
      </c>
      <c r="V19" s="30" t="s">
        <v>0</v>
      </c>
      <c r="W19" s="15">
        <f>SUM(W14:W18)</f>
        <v>769.5</v>
      </c>
      <c r="Y19" s="114">
        <f>IF(X$3=1,W19,0)</f>
        <v>0</v>
      </c>
      <c r="AA19" s="112"/>
      <c r="AB19" s="28">
        <f>AA20-AA21</f>
        <v>8100</v>
      </c>
      <c r="AC19" s="14">
        <f>AB19*AD6</f>
        <v>810</v>
      </c>
      <c r="AD19" s="101"/>
      <c r="AG19" s="112">
        <f t="shared" ref="AG19:AG25" si="22">IF(($A$15-AH7)&lt;0,0,(S$15-AH7))</f>
        <v>0</v>
      </c>
      <c r="AH19" s="29">
        <f t="shared" si="14"/>
        <v>0</v>
      </c>
      <c r="AI19" s="13">
        <f t="shared" si="15"/>
        <v>0</v>
      </c>
      <c r="AJ19" s="101"/>
      <c r="AM19" s="112">
        <f>IF(($A$15-AN6)&lt;0,0,($A$15-AN6))</f>
        <v>8100</v>
      </c>
      <c r="AN19" s="29">
        <f t="shared" ref="AN19:AN26" si="23">AM20-AM21</f>
        <v>0</v>
      </c>
      <c r="AO19" s="13">
        <f t="shared" ref="AO19:AO26" si="24">AN19*AP7</f>
        <v>0</v>
      </c>
      <c r="AP19" s="101"/>
      <c r="AS19" s="112">
        <f t="shared" si="4"/>
        <v>0</v>
      </c>
      <c r="AT19" s="29">
        <f t="shared" si="0"/>
        <v>0</v>
      </c>
      <c r="AU19" s="13">
        <f t="shared" si="1"/>
        <v>0</v>
      </c>
      <c r="AV19" s="101"/>
      <c r="AY19" s="112">
        <f t="shared" si="16"/>
        <v>0</v>
      </c>
      <c r="AZ19" s="29">
        <f t="shared" si="6"/>
        <v>0</v>
      </c>
      <c r="BA19" s="13">
        <f t="shared" si="7"/>
        <v>0</v>
      </c>
      <c r="BB19" s="101"/>
      <c r="BE19" s="112">
        <f>IF(($A$15-BF10)&lt;0,0,($A$15-BF10))</f>
        <v>0</v>
      </c>
      <c r="BF19" s="30" t="s">
        <v>0</v>
      </c>
      <c r="BG19" s="15">
        <f>SUM(BG14:BG18)</f>
        <v>769.5</v>
      </c>
      <c r="BI19" s="114">
        <f>IF(BH$3=1,BG19,0)</f>
        <v>0</v>
      </c>
      <c r="BK19" s="112">
        <f>IF(($A$15-BL10)&lt;0,0,($A$15-BL10))</f>
        <v>0</v>
      </c>
      <c r="BL19" s="30" t="s">
        <v>0</v>
      </c>
      <c r="BM19" s="15">
        <f>SUM(BM14:BM18)</f>
        <v>769.5</v>
      </c>
      <c r="BO19" s="114">
        <f>IF(BN$3=1,BM19,0)</f>
        <v>0</v>
      </c>
      <c r="BQ19" s="112">
        <f t="shared" si="5"/>
        <v>0</v>
      </c>
      <c r="BR19" s="29">
        <f t="shared" si="2"/>
        <v>0</v>
      </c>
      <c r="BS19" s="13">
        <f t="shared" si="3"/>
        <v>0</v>
      </c>
      <c r="BT19" s="101"/>
      <c r="BW19" s="112">
        <f>IF(($A$15-BX6)&lt;0,0,($A$15-BX6))</f>
        <v>8100</v>
      </c>
      <c r="BX19" s="29">
        <f t="shared" ref="BX19:BX26" si="25">BW20-BW21</f>
        <v>0</v>
      </c>
      <c r="BY19" s="13">
        <f t="shared" ref="BY19:BY26" si="26">BX19*BZ7</f>
        <v>0</v>
      </c>
      <c r="BZ19" s="101"/>
      <c r="CC19" s="112">
        <f t="shared" si="17"/>
        <v>0</v>
      </c>
      <c r="CD19" s="29">
        <f t="shared" si="8"/>
        <v>0</v>
      </c>
      <c r="CE19" s="13">
        <f t="shared" si="9"/>
        <v>0</v>
      </c>
      <c r="CF19" s="101"/>
      <c r="CI19" s="112">
        <f>IF(($A$15-CJ10)&lt;0,0,($A$15-CJ10))</f>
        <v>0</v>
      </c>
      <c r="CJ19" s="30" t="s">
        <v>0</v>
      </c>
      <c r="CK19" s="15">
        <f>SUM(CK14:CK18)</f>
        <v>810</v>
      </c>
      <c r="CM19" s="114">
        <f>IF(CL$3=1,CK19,0)</f>
        <v>0</v>
      </c>
      <c r="CO19" s="112">
        <f t="shared" si="18"/>
        <v>0</v>
      </c>
      <c r="CP19" s="29">
        <f t="shared" si="10"/>
        <v>0</v>
      </c>
      <c r="CQ19" s="13">
        <f t="shared" si="11"/>
        <v>0</v>
      </c>
      <c r="CR19" s="101"/>
      <c r="CU19" s="112">
        <f t="shared" ref="CU19:CU25" si="27">IF(($A$15-CV7)&lt;0,0,(CG$15-CV7))</f>
        <v>0</v>
      </c>
      <c r="CV19" s="29">
        <f t="shared" si="19"/>
        <v>0</v>
      </c>
      <c r="CW19" s="13">
        <f t="shared" si="20"/>
        <v>0</v>
      </c>
      <c r="CX19" s="101"/>
      <c r="DA19" s="112">
        <f>IF(($A$15-DB10)&lt;0,0,($A$15-DB10))</f>
        <v>0</v>
      </c>
      <c r="DB19" s="30" t="s">
        <v>0</v>
      </c>
      <c r="DC19" s="15">
        <f>SUM(DC14:DC18)</f>
        <v>769.5</v>
      </c>
      <c r="DE19" s="114">
        <f>IF(DD$3=1,DC19,0)</f>
        <v>0</v>
      </c>
      <c r="DG19" s="112">
        <f>IF(($A$15-DH10)&lt;0,0,($A$15-DH10))</f>
        <v>0</v>
      </c>
      <c r="DH19" s="30" t="s">
        <v>0</v>
      </c>
      <c r="DI19" s="15">
        <f>SUM(DI14:DI18)</f>
        <v>769.5</v>
      </c>
      <c r="DK19" s="114">
        <f>IF(DJ$3=1,DI19,0)</f>
        <v>0</v>
      </c>
    </row>
    <row r="20" spans="1:116">
      <c r="C20" s="112"/>
      <c r="D20" s="101"/>
      <c r="E20" s="101"/>
      <c r="F20" s="101"/>
      <c r="I20" s="112"/>
      <c r="J20" s="101"/>
      <c r="K20" s="101"/>
      <c r="L20" s="101"/>
      <c r="M20" s="101"/>
      <c r="N20" s="120"/>
      <c r="O20" s="112">
        <f t="shared" si="21"/>
        <v>0</v>
      </c>
      <c r="P20" s="29">
        <f t="shared" si="12"/>
        <v>0</v>
      </c>
      <c r="Q20" s="13">
        <f t="shared" si="13"/>
        <v>0</v>
      </c>
      <c r="R20" s="101"/>
      <c r="U20" s="112"/>
      <c r="V20" s="101"/>
      <c r="W20" s="101"/>
      <c r="X20" s="101"/>
      <c r="AA20" s="112">
        <f>IF(($A$15-AB6)&lt;0,0,($A$15-AB6))</f>
        <v>8100</v>
      </c>
      <c r="AB20" s="29">
        <f t="shared" ref="AB20:AB28" si="28">AA21-AA22</f>
        <v>0</v>
      </c>
      <c r="AC20" s="13">
        <f t="shared" ref="AC20:AC28" si="29">AB20*AD7</f>
        <v>0</v>
      </c>
      <c r="AD20" s="101"/>
      <c r="AG20" s="112">
        <f t="shared" si="22"/>
        <v>0</v>
      </c>
      <c r="AH20" s="29">
        <f t="shared" si="14"/>
        <v>0</v>
      </c>
      <c r="AI20" s="13">
        <f t="shared" si="15"/>
        <v>0</v>
      </c>
      <c r="AJ20" s="101"/>
      <c r="AM20" s="112">
        <f t="shared" ref="AM20:AM27" si="30">IF(($A$15-AN7)&lt;0,0,($A$15-AN7))</f>
        <v>0</v>
      </c>
      <c r="AN20" s="29">
        <f t="shared" si="23"/>
        <v>0</v>
      </c>
      <c r="AO20" s="13">
        <f t="shared" si="24"/>
        <v>0</v>
      </c>
      <c r="AP20" s="101"/>
      <c r="AS20" s="112">
        <f t="shared" si="4"/>
        <v>0</v>
      </c>
      <c r="AT20" s="29">
        <f t="shared" si="0"/>
        <v>0</v>
      </c>
      <c r="AU20" s="13">
        <f t="shared" si="1"/>
        <v>0</v>
      </c>
      <c r="AV20" s="113"/>
      <c r="AY20" s="112">
        <f t="shared" si="16"/>
        <v>0</v>
      </c>
      <c r="AZ20" s="29">
        <f t="shared" si="6"/>
        <v>0</v>
      </c>
      <c r="BA20" s="13">
        <f t="shared" si="7"/>
        <v>0</v>
      </c>
      <c r="BB20" s="101"/>
      <c r="BE20" s="112"/>
      <c r="BF20" s="101"/>
      <c r="BG20" s="101"/>
      <c r="BH20" s="101"/>
      <c r="BK20" s="112"/>
      <c r="BL20" s="101"/>
      <c r="BM20" s="101"/>
      <c r="BN20" s="101"/>
      <c r="BQ20" s="112">
        <f t="shared" si="5"/>
        <v>0</v>
      </c>
      <c r="BR20" s="29">
        <f t="shared" si="2"/>
        <v>0</v>
      </c>
      <c r="BS20" s="13">
        <f t="shared" si="3"/>
        <v>0</v>
      </c>
      <c r="BT20" s="113"/>
      <c r="BW20" s="112">
        <f t="shared" ref="BW20:BW27" si="31">IF(($A$15-BX7)&lt;0,0,($A$15-BX7))</f>
        <v>0</v>
      </c>
      <c r="BX20" s="29">
        <f t="shared" si="25"/>
        <v>0</v>
      </c>
      <c r="BY20" s="13">
        <f t="shared" si="26"/>
        <v>0</v>
      </c>
      <c r="BZ20" s="101"/>
      <c r="CC20" s="112">
        <f t="shared" si="17"/>
        <v>0</v>
      </c>
      <c r="CD20" s="29">
        <f t="shared" si="8"/>
        <v>0</v>
      </c>
      <c r="CE20" s="13">
        <f t="shared" si="9"/>
        <v>0</v>
      </c>
      <c r="CF20" s="101"/>
      <c r="CI20" s="112"/>
      <c r="CJ20" s="101"/>
      <c r="CK20" s="101"/>
      <c r="CL20" s="101"/>
      <c r="CO20" s="112">
        <f t="shared" si="18"/>
        <v>0</v>
      </c>
      <c r="CP20" s="29">
        <f t="shared" si="10"/>
        <v>0</v>
      </c>
      <c r="CQ20" s="13">
        <f t="shared" si="11"/>
        <v>0</v>
      </c>
      <c r="CR20" s="101"/>
      <c r="CU20" s="112">
        <f t="shared" si="27"/>
        <v>0</v>
      </c>
      <c r="CV20" s="29">
        <f t="shared" si="19"/>
        <v>0</v>
      </c>
      <c r="CW20" s="13">
        <f t="shared" si="20"/>
        <v>0</v>
      </c>
      <c r="CX20" s="101"/>
      <c r="DA20" s="112"/>
      <c r="DB20" s="101"/>
      <c r="DC20" s="101"/>
      <c r="DD20" s="101"/>
      <c r="DG20" s="112"/>
      <c r="DH20" s="101"/>
      <c r="DI20" s="101"/>
      <c r="DJ20" s="101"/>
    </row>
    <row r="21" spans="1:116" ht="13.8" thickBot="1">
      <c r="C21" s="112"/>
      <c r="D21" s="101"/>
      <c r="E21" s="101"/>
      <c r="F21" s="101"/>
      <c r="I21" s="112"/>
      <c r="J21" s="101"/>
      <c r="K21" s="101"/>
      <c r="L21" s="101"/>
      <c r="M21" s="101"/>
      <c r="N21" s="120"/>
      <c r="O21" s="112">
        <f t="shared" si="21"/>
        <v>0</v>
      </c>
      <c r="P21" s="29">
        <f t="shared" si="12"/>
        <v>0</v>
      </c>
      <c r="Q21" s="13">
        <f t="shared" si="13"/>
        <v>0</v>
      </c>
      <c r="R21" s="101"/>
      <c r="U21" s="112"/>
      <c r="V21" s="101"/>
      <c r="W21" s="101"/>
      <c r="X21" s="101"/>
      <c r="AA21" s="112">
        <f t="shared" ref="AA21:AA29" si="32">IF(($A$15-AB7)&lt;0,0,($A$15-AB7))</f>
        <v>0</v>
      </c>
      <c r="AB21" s="29">
        <f t="shared" si="28"/>
        <v>0</v>
      </c>
      <c r="AC21" s="13">
        <f t="shared" si="29"/>
        <v>0</v>
      </c>
      <c r="AD21" s="101"/>
      <c r="AG21" s="112">
        <f t="shared" si="22"/>
        <v>0</v>
      </c>
      <c r="AH21" s="29">
        <f t="shared" si="14"/>
        <v>0</v>
      </c>
      <c r="AI21" s="13">
        <f t="shared" si="15"/>
        <v>0</v>
      </c>
      <c r="AJ21" s="101"/>
      <c r="AM21" s="112">
        <f t="shared" si="30"/>
        <v>0</v>
      </c>
      <c r="AN21" s="29">
        <f t="shared" si="23"/>
        <v>0</v>
      </c>
      <c r="AO21" s="13">
        <f t="shared" si="24"/>
        <v>0</v>
      </c>
      <c r="AP21" s="101"/>
      <c r="AS21" s="112">
        <f t="shared" si="4"/>
        <v>0</v>
      </c>
      <c r="AT21" s="30" t="s">
        <v>0</v>
      </c>
      <c r="AU21" s="15">
        <f>SUM(AU15:AU20)</f>
        <v>769.5</v>
      </c>
      <c r="AW21" s="114">
        <f>IF(AV$3=1,AU21,0)</f>
        <v>0</v>
      </c>
      <c r="AY21" s="112">
        <f t="shared" si="16"/>
        <v>0</v>
      </c>
      <c r="AZ21" s="29">
        <f t="shared" si="6"/>
        <v>0</v>
      </c>
      <c r="BA21" s="13">
        <f t="shared" si="7"/>
        <v>0</v>
      </c>
      <c r="BB21" s="101"/>
      <c r="BE21" s="112"/>
      <c r="BF21" s="101"/>
      <c r="BG21" s="101"/>
      <c r="BH21" s="101"/>
      <c r="BK21" s="112"/>
      <c r="BL21" s="101"/>
      <c r="BM21" s="101"/>
      <c r="BN21" s="101"/>
      <c r="BQ21" s="112">
        <f t="shared" si="5"/>
        <v>0</v>
      </c>
      <c r="BR21" s="30" t="s">
        <v>0</v>
      </c>
      <c r="BS21" s="15">
        <f>SUM(BS15:BS20)</f>
        <v>972</v>
      </c>
      <c r="BU21" s="114">
        <f>IF(BT$3=1,BS21,0)</f>
        <v>0</v>
      </c>
      <c r="BW21" s="112">
        <f t="shared" si="31"/>
        <v>0</v>
      </c>
      <c r="BX21" s="29">
        <f t="shared" si="25"/>
        <v>0</v>
      </c>
      <c r="BY21" s="13">
        <f t="shared" si="26"/>
        <v>0</v>
      </c>
      <c r="BZ21" s="101"/>
      <c r="CC21" s="112">
        <f t="shared" si="17"/>
        <v>0</v>
      </c>
      <c r="CD21" s="29">
        <f t="shared" si="8"/>
        <v>0</v>
      </c>
      <c r="CE21" s="13">
        <f t="shared" si="9"/>
        <v>0</v>
      </c>
      <c r="CF21" s="101"/>
      <c r="CI21" s="112"/>
      <c r="CJ21" s="101"/>
      <c r="CK21" s="101"/>
      <c r="CL21" s="101"/>
      <c r="CO21" s="112">
        <f t="shared" si="18"/>
        <v>0</v>
      </c>
      <c r="CP21" s="29">
        <f t="shared" si="10"/>
        <v>0</v>
      </c>
      <c r="CQ21" s="13">
        <f t="shared" si="11"/>
        <v>0</v>
      </c>
      <c r="CR21" s="101"/>
      <c r="CU21" s="112">
        <f t="shared" si="27"/>
        <v>0</v>
      </c>
      <c r="CV21" s="29">
        <f t="shared" si="19"/>
        <v>0</v>
      </c>
      <c r="CW21" s="13">
        <f t="shared" si="20"/>
        <v>0</v>
      </c>
      <c r="CX21" s="101"/>
      <c r="DA21" s="112"/>
      <c r="DB21" s="101"/>
      <c r="DC21" s="101"/>
      <c r="DD21" s="101"/>
      <c r="DG21" s="112"/>
      <c r="DH21" s="101"/>
      <c r="DI21" s="101"/>
      <c r="DJ21" s="101"/>
    </row>
    <row r="22" spans="1:116" ht="13.8" thickBot="1">
      <c r="C22" s="112"/>
      <c r="D22" s="337" t="s">
        <v>14</v>
      </c>
      <c r="E22" s="339"/>
      <c r="F22" s="101"/>
      <c r="I22" s="112"/>
      <c r="J22" s="337" t="s">
        <v>14</v>
      </c>
      <c r="K22" s="339"/>
      <c r="L22" s="101"/>
      <c r="M22" s="101"/>
      <c r="N22" s="120"/>
      <c r="O22" s="112">
        <f t="shared" si="21"/>
        <v>0</v>
      </c>
      <c r="P22" s="29">
        <f t="shared" si="12"/>
        <v>0</v>
      </c>
      <c r="Q22" s="13">
        <f t="shared" si="13"/>
        <v>0</v>
      </c>
      <c r="R22" s="101"/>
      <c r="U22" s="112"/>
      <c r="V22" s="337" t="s">
        <v>14</v>
      </c>
      <c r="W22" s="339"/>
      <c r="X22" s="101"/>
      <c r="AA22" s="112">
        <f t="shared" si="32"/>
        <v>0</v>
      </c>
      <c r="AB22" s="29">
        <f t="shared" si="28"/>
        <v>0</v>
      </c>
      <c r="AC22" s="13">
        <f t="shared" si="29"/>
        <v>0</v>
      </c>
      <c r="AD22" s="101"/>
      <c r="AG22" s="112">
        <f t="shared" si="22"/>
        <v>0</v>
      </c>
      <c r="AH22" s="29">
        <f t="shared" si="14"/>
        <v>0</v>
      </c>
      <c r="AI22" s="13">
        <f t="shared" si="15"/>
        <v>0</v>
      </c>
      <c r="AJ22" s="101"/>
      <c r="AM22" s="112">
        <f t="shared" si="30"/>
        <v>0</v>
      </c>
      <c r="AN22" s="29">
        <f t="shared" si="23"/>
        <v>0</v>
      </c>
      <c r="AO22" s="13">
        <f t="shared" si="24"/>
        <v>0</v>
      </c>
      <c r="AP22" s="101"/>
      <c r="AS22" s="112"/>
      <c r="AT22" s="101"/>
      <c r="AU22" s="101"/>
      <c r="AV22" s="101"/>
      <c r="AY22" s="112">
        <f t="shared" si="16"/>
        <v>0</v>
      </c>
      <c r="AZ22" s="29">
        <f t="shared" si="6"/>
        <v>0</v>
      </c>
      <c r="BA22" s="13">
        <f t="shared" si="7"/>
        <v>0</v>
      </c>
      <c r="BB22" s="101"/>
      <c r="BE22" s="112"/>
      <c r="BF22" s="337" t="s">
        <v>14</v>
      </c>
      <c r="BG22" s="339"/>
      <c r="BH22" s="101"/>
      <c r="BK22" s="112"/>
      <c r="BL22" s="337" t="s">
        <v>14</v>
      </c>
      <c r="BM22" s="339"/>
      <c r="BN22" s="101"/>
      <c r="BQ22" s="112"/>
      <c r="BR22" s="101"/>
      <c r="BS22" s="101"/>
      <c r="BT22" s="101"/>
      <c r="BW22" s="112">
        <f t="shared" si="31"/>
        <v>0</v>
      </c>
      <c r="BX22" s="29">
        <f t="shared" si="25"/>
        <v>0</v>
      </c>
      <c r="BY22" s="13">
        <f t="shared" si="26"/>
        <v>0</v>
      </c>
      <c r="BZ22" s="101"/>
      <c r="CC22" s="112">
        <f t="shared" si="17"/>
        <v>0</v>
      </c>
      <c r="CD22" s="29">
        <f t="shared" si="8"/>
        <v>0</v>
      </c>
      <c r="CE22" s="13">
        <f t="shared" si="9"/>
        <v>0</v>
      </c>
      <c r="CF22" s="101"/>
      <c r="CI22" s="112"/>
      <c r="CJ22" s="337" t="s">
        <v>14</v>
      </c>
      <c r="CK22" s="339"/>
      <c r="CL22" s="101"/>
      <c r="CO22" s="112">
        <f t="shared" si="18"/>
        <v>0</v>
      </c>
      <c r="CP22" s="29">
        <f t="shared" si="10"/>
        <v>0</v>
      </c>
      <c r="CQ22" s="13">
        <f t="shared" si="11"/>
        <v>0</v>
      </c>
      <c r="CR22" s="101"/>
      <c r="CU22" s="112">
        <f t="shared" si="27"/>
        <v>0</v>
      </c>
      <c r="CV22" s="29">
        <f t="shared" si="19"/>
        <v>0</v>
      </c>
      <c r="CW22" s="13">
        <f t="shared" si="20"/>
        <v>0</v>
      </c>
      <c r="CX22" s="101"/>
      <c r="DA22" s="112"/>
      <c r="DB22" s="337" t="s">
        <v>14</v>
      </c>
      <c r="DC22" s="339"/>
      <c r="DD22" s="101"/>
      <c r="DG22" s="112"/>
      <c r="DH22" s="337" t="s">
        <v>14</v>
      </c>
      <c r="DI22" s="339"/>
      <c r="DJ22" s="101"/>
    </row>
    <row r="23" spans="1:116" ht="13.8" thickBot="1">
      <c r="C23" s="112"/>
      <c r="D23" s="28">
        <f>C24-C25</f>
        <v>12450</v>
      </c>
      <c r="E23" s="14">
        <f>D23*F6</f>
        <v>1182.75</v>
      </c>
      <c r="F23" s="101"/>
      <c r="I23" s="112"/>
      <c r="J23" s="28">
        <f>I24-I25</f>
        <v>12450</v>
      </c>
      <c r="K23" s="14">
        <f>J23*L6</f>
        <v>1182.75</v>
      </c>
      <c r="L23" s="101"/>
      <c r="M23" s="101"/>
      <c r="N23" s="120"/>
      <c r="O23" s="112">
        <f t="shared" si="21"/>
        <v>0</v>
      </c>
      <c r="P23" s="29">
        <f t="shared" si="12"/>
        <v>0</v>
      </c>
      <c r="Q23" s="13">
        <f t="shared" si="13"/>
        <v>0</v>
      </c>
      <c r="R23" s="101"/>
      <c r="U23" s="112"/>
      <c r="V23" s="28">
        <f>U24-U25</f>
        <v>12450</v>
      </c>
      <c r="W23" s="14">
        <f>V23*X6</f>
        <v>1182.75</v>
      </c>
      <c r="X23" s="101"/>
      <c r="AA23" s="112">
        <f t="shared" si="32"/>
        <v>0</v>
      </c>
      <c r="AB23" s="29">
        <f t="shared" si="28"/>
        <v>0</v>
      </c>
      <c r="AC23" s="13">
        <f t="shared" si="29"/>
        <v>0</v>
      </c>
      <c r="AD23" s="101"/>
      <c r="AG23" s="112">
        <f t="shared" si="22"/>
        <v>0</v>
      </c>
      <c r="AH23" s="29">
        <f t="shared" si="14"/>
        <v>0</v>
      </c>
      <c r="AI23" s="13">
        <f t="shared" si="15"/>
        <v>0</v>
      </c>
      <c r="AJ23" s="101"/>
      <c r="AM23" s="112">
        <f t="shared" si="30"/>
        <v>0</v>
      </c>
      <c r="AN23" s="29">
        <f t="shared" si="23"/>
        <v>0</v>
      </c>
      <c r="AO23" s="13">
        <f t="shared" si="24"/>
        <v>0</v>
      </c>
      <c r="AP23" s="101"/>
      <c r="AS23" s="112"/>
      <c r="AT23" s="101"/>
      <c r="AU23" s="101"/>
      <c r="AV23" s="101"/>
      <c r="AY23" s="112">
        <f t="shared" si="16"/>
        <v>0</v>
      </c>
      <c r="AZ23" s="30" t="s">
        <v>0</v>
      </c>
      <c r="BA23" s="15">
        <f>SUM(BA16:BA22)</f>
        <v>769.5</v>
      </c>
      <c r="BC23" s="114">
        <f>IF(BB$3=1,BA23,0)</f>
        <v>0</v>
      </c>
      <c r="BE23" s="112"/>
      <c r="BF23" s="28">
        <f>BE24-BE25</f>
        <v>12450</v>
      </c>
      <c r="BG23" s="14">
        <f>BF23*BH6</f>
        <v>1182.75</v>
      </c>
      <c r="BH23" s="101"/>
      <c r="BK23" s="112"/>
      <c r="BL23" s="28">
        <f>BK24-BK25</f>
        <v>12450</v>
      </c>
      <c r="BM23" s="14">
        <f>BL23*BN6</f>
        <v>1182.75</v>
      </c>
      <c r="BN23" s="101"/>
      <c r="BQ23" s="112"/>
      <c r="BR23" s="101"/>
      <c r="BS23" s="101"/>
      <c r="BT23" s="101"/>
      <c r="BW23" s="112">
        <f t="shared" si="31"/>
        <v>0</v>
      </c>
      <c r="BX23" s="29">
        <f t="shared" si="25"/>
        <v>0</v>
      </c>
      <c r="BY23" s="13">
        <f t="shared" si="26"/>
        <v>0</v>
      </c>
      <c r="BZ23" s="101"/>
      <c r="CC23" s="112">
        <f t="shared" si="17"/>
        <v>0</v>
      </c>
      <c r="CD23" s="30" t="s">
        <v>0</v>
      </c>
      <c r="CE23" s="15">
        <f>SUM(CE16:CE22)</f>
        <v>769.5</v>
      </c>
      <c r="CG23" s="114">
        <f>IF(CF$3=1,CE23,0)</f>
        <v>0</v>
      </c>
      <c r="CI23" s="112"/>
      <c r="CJ23" s="28">
        <f>CI24-CI25</f>
        <v>12450</v>
      </c>
      <c r="CK23" s="14">
        <f>CJ23*CL6</f>
        <v>1245</v>
      </c>
      <c r="CL23" s="101"/>
      <c r="CO23" s="112">
        <f t="shared" si="18"/>
        <v>0</v>
      </c>
      <c r="CP23" s="30" t="s">
        <v>0</v>
      </c>
      <c r="CQ23" s="15">
        <f>SUM(CQ16:CQ22)</f>
        <v>769.5</v>
      </c>
      <c r="CS23" s="114">
        <f>IF(CR$3=1,CQ23,0)</f>
        <v>0</v>
      </c>
      <c r="CU23" s="112">
        <f t="shared" si="27"/>
        <v>0</v>
      </c>
      <c r="CV23" s="29">
        <f t="shared" si="19"/>
        <v>0</v>
      </c>
      <c r="CW23" s="13">
        <f t="shared" si="20"/>
        <v>0</v>
      </c>
      <c r="CX23" s="101"/>
      <c r="DA23" s="112"/>
      <c r="DB23" s="28">
        <f>DA24-DA25</f>
        <v>12450</v>
      </c>
      <c r="DC23" s="14">
        <f>DB23*DD6</f>
        <v>1182.75</v>
      </c>
      <c r="DD23" s="101"/>
      <c r="DG23" s="112"/>
      <c r="DH23" s="28">
        <f>DG24-DG25</f>
        <v>12450</v>
      </c>
      <c r="DI23" s="14">
        <f>DH23*DJ6</f>
        <v>1182.75</v>
      </c>
      <c r="DJ23" s="101"/>
    </row>
    <row r="24" spans="1:116" ht="13.8" thickBot="1">
      <c r="A24" s="1">
        <f>'2018 (12 Pagas)'!D33</f>
        <v>20476</v>
      </c>
      <c r="B24" s="1"/>
      <c r="C24" s="112">
        <f>IF(($A$24-D6)&lt;0,0,($A$24-D6))</f>
        <v>20476</v>
      </c>
      <c r="D24" s="29">
        <f>C25-C26</f>
        <v>7750</v>
      </c>
      <c r="E24" s="13">
        <f>D24*F7</f>
        <v>930</v>
      </c>
      <c r="F24" s="101"/>
      <c r="I24" s="112">
        <f>IF(($A$24-J6)&lt;0,0,($A$24-J6))</f>
        <v>20476</v>
      </c>
      <c r="J24" s="29">
        <f>I25-I26</f>
        <v>7750</v>
      </c>
      <c r="K24" s="13">
        <f>J24*L7</f>
        <v>930</v>
      </c>
      <c r="L24" s="101"/>
      <c r="M24" s="101"/>
      <c r="N24" s="120"/>
      <c r="O24" s="112">
        <f t="shared" si="21"/>
        <v>0</v>
      </c>
      <c r="P24" s="29">
        <f t="shared" si="12"/>
        <v>0</v>
      </c>
      <c r="Q24" s="13">
        <f t="shared" si="13"/>
        <v>0</v>
      </c>
      <c r="R24" s="113"/>
      <c r="U24" s="112">
        <f>IF(($A$24-V6)&lt;0,0,($A$24-V6))</f>
        <v>20476</v>
      </c>
      <c r="V24" s="29">
        <f>U25-U26</f>
        <v>5257.2000000000007</v>
      </c>
      <c r="W24" s="13">
        <f>V24*X7</f>
        <v>588.80640000000005</v>
      </c>
      <c r="X24" s="101"/>
      <c r="AA24" s="112">
        <f t="shared" si="32"/>
        <v>0</v>
      </c>
      <c r="AB24" s="29">
        <f t="shared" si="28"/>
        <v>0</v>
      </c>
      <c r="AC24" s="13">
        <f t="shared" si="29"/>
        <v>0</v>
      </c>
      <c r="AD24" s="101"/>
      <c r="AG24" s="112">
        <f t="shared" si="22"/>
        <v>0</v>
      </c>
      <c r="AH24" s="29">
        <f t="shared" si="14"/>
        <v>0</v>
      </c>
      <c r="AI24" s="13">
        <f t="shared" si="15"/>
        <v>0</v>
      </c>
      <c r="AJ24" s="113"/>
      <c r="AM24" s="112">
        <f t="shared" si="30"/>
        <v>0</v>
      </c>
      <c r="AN24" s="29">
        <f t="shared" si="23"/>
        <v>0</v>
      </c>
      <c r="AO24" s="13">
        <f t="shared" si="24"/>
        <v>0</v>
      </c>
      <c r="AP24" s="101"/>
      <c r="AS24" s="112"/>
      <c r="AT24" s="373" t="s">
        <v>14</v>
      </c>
      <c r="AU24" s="374"/>
      <c r="AV24" s="101"/>
      <c r="AY24" s="112"/>
      <c r="AZ24" s="101"/>
      <c r="BA24" s="101"/>
      <c r="BB24" s="101"/>
      <c r="BE24" s="112">
        <f>IF(($A$24-BF6)&lt;0,0,($A$24-BF6))</f>
        <v>20476</v>
      </c>
      <c r="BF24" s="29">
        <f>BE25-BE26</f>
        <v>7750</v>
      </c>
      <c r="BG24" s="13">
        <f>BF24*BH7</f>
        <v>930</v>
      </c>
      <c r="BH24" s="101"/>
      <c r="BK24" s="112">
        <f>IF(($A$24-BL6)&lt;0,0,($A$24-BL6))</f>
        <v>20476</v>
      </c>
      <c r="BL24" s="29">
        <f>BK25-BK26</f>
        <v>7750</v>
      </c>
      <c r="BM24" s="13">
        <f>BL24*BN7</f>
        <v>930</v>
      </c>
      <c r="BN24" s="101"/>
      <c r="BQ24" s="112"/>
      <c r="BR24" s="373" t="s">
        <v>14</v>
      </c>
      <c r="BS24" s="374"/>
      <c r="BT24" s="101"/>
      <c r="BW24" s="112">
        <f t="shared" si="31"/>
        <v>0</v>
      </c>
      <c r="BX24" s="29">
        <f t="shared" si="25"/>
        <v>0</v>
      </c>
      <c r="BY24" s="13">
        <f t="shared" si="26"/>
        <v>0</v>
      </c>
      <c r="BZ24" s="101"/>
      <c r="CC24" s="112"/>
      <c r="CD24" s="101"/>
      <c r="CE24" s="101"/>
      <c r="CF24" s="101"/>
      <c r="CI24" s="112">
        <f>IF(($A$24-CJ6)&lt;0,0,($A$24-CJ6))</f>
        <v>20476</v>
      </c>
      <c r="CJ24" s="29">
        <f>CI25-CI26</f>
        <v>7750</v>
      </c>
      <c r="CK24" s="13">
        <f>CJ24*CL7</f>
        <v>968.75</v>
      </c>
      <c r="CL24" s="101"/>
      <c r="CO24" s="112"/>
      <c r="CP24" s="101"/>
      <c r="CQ24" s="101"/>
      <c r="CR24" s="101"/>
      <c r="CU24" s="112">
        <f t="shared" si="27"/>
        <v>0</v>
      </c>
      <c r="CV24" s="29">
        <f t="shared" si="19"/>
        <v>0</v>
      </c>
      <c r="CW24" s="13">
        <f t="shared" si="20"/>
        <v>0</v>
      </c>
      <c r="CX24" s="113"/>
      <c r="DA24" s="112">
        <f>IF(($A$24-DB6)&lt;0,0,($A$24-DB6))</f>
        <v>20476</v>
      </c>
      <c r="DB24" s="29">
        <f>DA25-DA26</f>
        <v>7750</v>
      </c>
      <c r="DC24" s="13">
        <f>DB24*DD7</f>
        <v>930</v>
      </c>
      <c r="DD24" s="101"/>
      <c r="DG24" s="112">
        <f>IF(($A$24-DH6)&lt;0,0,($A$24-DH6))</f>
        <v>20476</v>
      </c>
      <c r="DH24" s="29">
        <f>DG25-DG26</f>
        <v>7750</v>
      </c>
      <c r="DI24" s="13">
        <f>DH24*DJ7</f>
        <v>930</v>
      </c>
      <c r="DJ24" s="101"/>
    </row>
    <row r="25" spans="1:116" ht="13.8" thickBot="1">
      <c r="C25" s="112">
        <f>IF(($A$24-D7)&lt;0,0,($A$24-D7))</f>
        <v>8026</v>
      </c>
      <c r="D25" s="29">
        <f>C26-C27</f>
        <v>276</v>
      </c>
      <c r="E25" s="13">
        <f>D25*F8</f>
        <v>41.4</v>
      </c>
      <c r="F25" s="5"/>
      <c r="I25" s="112">
        <f>IF(($A$24-J7)&lt;0,0,($A$24-J7))</f>
        <v>8026</v>
      </c>
      <c r="J25" s="29">
        <f>I26-I27</f>
        <v>276</v>
      </c>
      <c r="K25" s="13">
        <f>J25*L8</f>
        <v>41.4</v>
      </c>
      <c r="L25" s="5"/>
      <c r="M25" s="5"/>
      <c r="N25" s="122"/>
      <c r="O25" s="112">
        <f t="shared" si="21"/>
        <v>0</v>
      </c>
      <c r="P25" s="30" t="s">
        <v>0</v>
      </c>
      <c r="Q25" s="15">
        <f>SUM(Q17:Q24)</f>
        <v>810</v>
      </c>
      <c r="S25" s="114">
        <f>IF(R$3=1,Q25,0)</f>
        <v>0</v>
      </c>
      <c r="U25" s="112">
        <f>IF(($A$24-V7)&lt;0,0,($A$24-V7))</f>
        <v>8026</v>
      </c>
      <c r="V25" s="29">
        <f>U26-U27</f>
        <v>2768.7999999999993</v>
      </c>
      <c r="W25" s="13">
        <f>V25*X8</f>
        <v>368.2503999999999</v>
      </c>
      <c r="X25" s="5"/>
      <c r="AA25" s="112">
        <f t="shared" si="32"/>
        <v>0</v>
      </c>
      <c r="AB25" s="29">
        <f t="shared" si="28"/>
        <v>0</v>
      </c>
      <c r="AC25" s="13">
        <f t="shared" si="29"/>
        <v>0</v>
      </c>
      <c r="AD25" s="101"/>
      <c r="AG25" s="112">
        <f t="shared" si="22"/>
        <v>0</v>
      </c>
      <c r="AH25" s="30" t="s">
        <v>0</v>
      </c>
      <c r="AI25" s="15">
        <f>SUM(AI17:AI24)</f>
        <v>810</v>
      </c>
      <c r="AK25" s="114">
        <f>IF(AJ$3=1,AI25,0)</f>
        <v>0</v>
      </c>
      <c r="AM25" s="112">
        <f t="shared" si="30"/>
        <v>0</v>
      </c>
      <c r="AN25" s="29">
        <f t="shared" si="23"/>
        <v>0</v>
      </c>
      <c r="AO25" s="13">
        <f t="shared" si="24"/>
        <v>0</v>
      </c>
      <c r="AP25" s="101"/>
      <c r="AS25" s="112"/>
      <c r="AT25" s="28">
        <f t="shared" ref="AT25:AT30" si="33">AS26-AS27</f>
        <v>12450</v>
      </c>
      <c r="AU25" s="14">
        <f t="shared" ref="AU25:AU30" si="34">AT25*AV6</f>
        <v>1182.75</v>
      </c>
      <c r="AV25" s="101"/>
      <c r="AY25" s="112"/>
      <c r="AZ25" s="101"/>
      <c r="BA25" s="101"/>
      <c r="BB25" s="101"/>
      <c r="BE25" s="112">
        <f>IF(($A$24-BF7)&lt;0,0,($A$24-BF7))</f>
        <v>8026</v>
      </c>
      <c r="BF25" s="29">
        <f>BE26-BE27</f>
        <v>276</v>
      </c>
      <c r="BG25" s="13">
        <f>BF25*BH8</f>
        <v>41.4</v>
      </c>
      <c r="BH25" s="5"/>
      <c r="BK25" s="112">
        <f>IF(($A$24-BL7)&lt;0,0,($A$24-BL7))</f>
        <v>8026</v>
      </c>
      <c r="BL25" s="29">
        <f>BK26-BK27</f>
        <v>276</v>
      </c>
      <c r="BM25" s="13">
        <f>BL25*BN8</f>
        <v>38.64</v>
      </c>
      <c r="BN25" s="5"/>
      <c r="BQ25" s="112"/>
      <c r="BR25" s="28">
        <f t="shared" ref="BR25:BR30" si="35">BQ26-BQ27</f>
        <v>17707.2</v>
      </c>
      <c r="BS25" s="14">
        <f t="shared" ref="BS25:BS30" si="36">BR25*BT6</f>
        <v>2124.864</v>
      </c>
      <c r="BT25" s="101"/>
      <c r="BW25" s="112">
        <f t="shared" si="31"/>
        <v>0</v>
      </c>
      <c r="BX25" s="29">
        <f t="shared" si="25"/>
        <v>0</v>
      </c>
      <c r="BY25" s="13">
        <f t="shared" si="26"/>
        <v>0</v>
      </c>
      <c r="BZ25" s="101"/>
      <c r="CC25" s="112"/>
      <c r="CD25" s="101"/>
      <c r="CE25" s="101"/>
      <c r="CF25" s="101"/>
      <c r="CI25" s="112">
        <f>IF(($A$24-CJ7)&lt;0,0,($A$24-CJ7))</f>
        <v>8026</v>
      </c>
      <c r="CJ25" s="29">
        <f>CI26-CI27</f>
        <v>276</v>
      </c>
      <c r="CK25" s="13">
        <f>CJ25*CL8</f>
        <v>42.78</v>
      </c>
      <c r="CL25" s="5"/>
      <c r="CO25" s="112"/>
      <c r="CP25" s="101"/>
      <c r="CQ25" s="101"/>
      <c r="CR25" s="101"/>
      <c r="CU25" s="112">
        <f t="shared" si="27"/>
        <v>0</v>
      </c>
      <c r="CV25" s="30" t="s">
        <v>0</v>
      </c>
      <c r="CW25" s="15">
        <f>SUM(CW17:CW24)</f>
        <v>810</v>
      </c>
      <c r="CY25" s="114">
        <f>IF(CX$3=1,CW25,0)</f>
        <v>0</v>
      </c>
      <c r="DA25" s="112">
        <f>IF(($A$24-DB7)&lt;0,0,($A$24-DB7))</f>
        <v>8026</v>
      </c>
      <c r="DB25" s="29">
        <f>DA26-DA27</f>
        <v>276</v>
      </c>
      <c r="DC25" s="13">
        <f>DB25*DD8</f>
        <v>41.4</v>
      </c>
      <c r="DD25" s="5"/>
      <c r="DG25" s="112">
        <f>IF(($A$24-DH7)&lt;0,0,($A$24-DH7))</f>
        <v>8026</v>
      </c>
      <c r="DH25" s="29">
        <f>DG26-DG27</f>
        <v>276</v>
      </c>
      <c r="DI25" s="13">
        <f>DH25*DJ8</f>
        <v>41.4</v>
      </c>
      <c r="DJ25" s="5"/>
    </row>
    <row r="26" spans="1:116" ht="13.8" thickBot="1">
      <c r="C26" s="112">
        <f>IF(($A$24-D8)&lt;0,0,($A$24-D8))</f>
        <v>276</v>
      </c>
      <c r="D26" s="29">
        <f>C27-C28</f>
        <v>0</v>
      </c>
      <c r="E26" s="13">
        <f>D26*F9</f>
        <v>0</v>
      </c>
      <c r="F26" s="113"/>
      <c r="I26" s="112">
        <f>IF(($A$24-J8)&lt;0,0,($A$24-J8))</f>
        <v>276</v>
      </c>
      <c r="J26" s="29">
        <f>I27-I28</f>
        <v>0</v>
      </c>
      <c r="K26" s="13">
        <f>J26*L9</f>
        <v>0</v>
      </c>
      <c r="L26" s="113"/>
      <c r="M26" s="113"/>
      <c r="N26" s="121"/>
      <c r="O26" s="112"/>
      <c r="P26" s="101"/>
      <c r="Q26" s="101"/>
      <c r="R26" s="101"/>
      <c r="U26" s="112">
        <f>IF(($A$24-V8)&lt;0,0,($A$24-V8))</f>
        <v>2768.7999999999993</v>
      </c>
      <c r="V26" s="29">
        <f>U27-U28</f>
        <v>0</v>
      </c>
      <c r="W26" s="13">
        <f>V26*X9</f>
        <v>0</v>
      </c>
      <c r="X26" s="113"/>
      <c r="AA26" s="112">
        <f t="shared" si="32"/>
        <v>0</v>
      </c>
      <c r="AB26" s="29">
        <f t="shared" si="28"/>
        <v>0</v>
      </c>
      <c r="AC26" s="13">
        <f t="shared" si="29"/>
        <v>0</v>
      </c>
      <c r="AD26" s="101"/>
      <c r="AG26" s="112"/>
      <c r="AH26" s="101"/>
      <c r="AI26" s="101"/>
      <c r="AJ26" s="101"/>
      <c r="AM26" s="112">
        <f t="shared" si="30"/>
        <v>0</v>
      </c>
      <c r="AN26" s="29">
        <f t="shared" si="23"/>
        <v>0</v>
      </c>
      <c r="AO26" s="13">
        <f t="shared" si="24"/>
        <v>0</v>
      </c>
      <c r="AP26" s="113"/>
      <c r="AS26" s="112">
        <f t="shared" ref="AS26:AS31" si="37">IF(($A$24-AT6)&lt;0,0,($A$24-AT6))</f>
        <v>20476</v>
      </c>
      <c r="AT26" s="29">
        <f t="shared" si="33"/>
        <v>5251.2099999999991</v>
      </c>
      <c r="AU26" s="13">
        <f t="shared" si="34"/>
        <v>630.14519999999982</v>
      </c>
      <c r="AV26" s="101"/>
      <c r="AY26" s="112"/>
      <c r="AZ26" s="373" t="s">
        <v>14</v>
      </c>
      <c r="BA26" s="374"/>
      <c r="BB26" s="101"/>
      <c r="BE26" s="112">
        <f>IF(($A$24-BF8)&lt;0,0,($A$24-BF8))</f>
        <v>276</v>
      </c>
      <c r="BF26" s="29">
        <f>BE27-BE28</f>
        <v>0</v>
      </c>
      <c r="BG26" s="13">
        <f>BF26*BH9</f>
        <v>0</v>
      </c>
      <c r="BH26" s="113"/>
      <c r="BK26" s="112">
        <f>IF(($A$24-BL8)&lt;0,0,($A$24-BL8))</f>
        <v>276</v>
      </c>
      <c r="BL26" s="29">
        <f>BK27-BK28</f>
        <v>0</v>
      </c>
      <c r="BM26" s="13">
        <f>BL26*BN9</f>
        <v>0</v>
      </c>
      <c r="BN26" s="113"/>
      <c r="BQ26" s="112">
        <f t="shared" ref="BQ26:BQ31" si="38">IF(($A$24-BR6)&lt;0,0,($A$24-BR6))</f>
        <v>20476</v>
      </c>
      <c r="BR26" s="29">
        <f t="shared" si="35"/>
        <v>2768.7999999999993</v>
      </c>
      <c r="BS26" s="13">
        <f t="shared" si="36"/>
        <v>387.63199999999995</v>
      </c>
      <c r="BT26" s="101"/>
      <c r="BW26" s="112">
        <f t="shared" si="31"/>
        <v>0</v>
      </c>
      <c r="BX26" s="29">
        <f t="shared" si="25"/>
        <v>0</v>
      </c>
      <c r="BY26" s="13">
        <f t="shared" si="26"/>
        <v>0</v>
      </c>
      <c r="BZ26" s="113"/>
      <c r="CC26" s="112"/>
      <c r="CD26" s="373" t="s">
        <v>14</v>
      </c>
      <c r="CE26" s="374"/>
      <c r="CF26" s="101"/>
      <c r="CI26" s="112">
        <f>IF(($A$24-CJ8)&lt;0,0,($A$24-CJ8))</f>
        <v>276</v>
      </c>
      <c r="CJ26" s="29">
        <f>CI27-CI28</f>
        <v>0</v>
      </c>
      <c r="CK26" s="13">
        <f>CJ26*CL9</f>
        <v>0</v>
      </c>
      <c r="CL26" s="113"/>
      <c r="CO26" s="112"/>
      <c r="CP26" s="373" t="s">
        <v>14</v>
      </c>
      <c r="CQ26" s="374"/>
      <c r="CR26" s="101"/>
      <c r="CU26" s="112"/>
      <c r="CV26" s="101"/>
      <c r="CW26" s="101"/>
      <c r="CX26" s="101"/>
      <c r="DA26" s="112">
        <f>IF(($A$24-DB8)&lt;0,0,($A$24-DB8))</f>
        <v>276</v>
      </c>
      <c r="DB26" s="29">
        <f>DA27-DA28</f>
        <v>0</v>
      </c>
      <c r="DC26" s="13">
        <f>DB26*DD9</f>
        <v>0</v>
      </c>
      <c r="DD26" s="113"/>
      <c r="DG26" s="112">
        <f>IF(($A$24-DH8)&lt;0,0,($A$24-DH8))</f>
        <v>276</v>
      </c>
      <c r="DH26" s="29">
        <f>DG27-DG28</f>
        <v>0</v>
      </c>
      <c r="DI26" s="13">
        <f>DH26*DJ9</f>
        <v>0</v>
      </c>
      <c r="DJ26" s="113"/>
    </row>
    <row r="27" spans="1:116" ht="13.8" thickBot="1">
      <c r="C27" s="112">
        <f>IF(($A$24-D9)&lt;0,0,($A$24-D9))</f>
        <v>0</v>
      </c>
      <c r="D27" s="29">
        <f>C28</f>
        <v>0</v>
      </c>
      <c r="E27" s="13">
        <f>D27*F10</f>
        <v>0</v>
      </c>
      <c r="F27" s="113"/>
      <c r="I27" s="112">
        <f>IF(($A$24-J9)&lt;0,0,($A$24-J9))</f>
        <v>0</v>
      </c>
      <c r="J27" s="29">
        <f>I28</f>
        <v>0</v>
      </c>
      <c r="K27" s="13">
        <f>J27*L10</f>
        <v>0</v>
      </c>
      <c r="L27" s="113"/>
      <c r="M27" s="113"/>
      <c r="N27" s="121"/>
      <c r="O27" s="112"/>
      <c r="P27" s="101"/>
      <c r="Q27" s="101"/>
      <c r="R27" s="101"/>
      <c r="U27" s="112">
        <f>IF(($A$24-V9)&lt;0,0,($A$24-V9))</f>
        <v>0</v>
      </c>
      <c r="V27" s="29">
        <f>U28</f>
        <v>0</v>
      </c>
      <c r="W27" s="13">
        <f>V27*X10</f>
        <v>0</v>
      </c>
      <c r="X27" s="113"/>
      <c r="AA27" s="112">
        <f t="shared" si="32"/>
        <v>0</v>
      </c>
      <c r="AB27" s="29">
        <f t="shared" si="28"/>
        <v>0</v>
      </c>
      <c r="AC27" s="13">
        <f t="shared" si="29"/>
        <v>0</v>
      </c>
      <c r="AD27" s="101"/>
      <c r="AG27" s="112"/>
      <c r="AH27" s="101"/>
      <c r="AI27" s="101"/>
      <c r="AJ27" s="101"/>
      <c r="AM27" s="112">
        <f t="shared" si="30"/>
        <v>0</v>
      </c>
      <c r="AN27" s="30" t="s">
        <v>0</v>
      </c>
      <c r="AO27" s="15">
        <f>SUM(AO18:AO26)</f>
        <v>769.5</v>
      </c>
      <c r="AQ27" s="114">
        <f>IF(AP$3=1,AO27,0)</f>
        <v>0</v>
      </c>
      <c r="AS27" s="112">
        <f t="shared" si="37"/>
        <v>8026</v>
      </c>
      <c r="AT27" s="29">
        <f t="shared" si="33"/>
        <v>2774.7900000000009</v>
      </c>
      <c r="AU27" s="13">
        <f t="shared" si="34"/>
        <v>388.47060000000016</v>
      </c>
      <c r="AV27" s="5"/>
      <c r="AY27" s="112"/>
      <c r="AZ27" s="28">
        <f>AY28-AY29</f>
        <v>12450</v>
      </c>
      <c r="BA27" s="14">
        <f>AZ27*BB6</f>
        <v>1182.75</v>
      </c>
      <c r="BB27" s="101"/>
      <c r="BE27" s="112">
        <f>IF(($A$24-BF9)&lt;0,0,($A$24-BF9))</f>
        <v>0</v>
      </c>
      <c r="BF27" s="29">
        <f>BE28</f>
        <v>0</v>
      </c>
      <c r="BG27" s="13">
        <f>BF27*BH10</f>
        <v>0</v>
      </c>
      <c r="BH27" s="113"/>
      <c r="BK27" s="112">
        <f>IF(($A$24-BL9)&lt;0,0,($A$24-BL9))</f>
        <v>0</v>
      </c>
      <c r="BL27" s="29">
        <f>BK28</f>
        <v>0</v>
      </c>
      <c r="BM27" s="13">
        <f>BL27*BN10</f>
        <v>0</v>
      </c>
      <c r="BN27" s="113"/>
      <c r="BQ27" s="112">
        <f t="shared" si="38"/>
        <v>2768.7999999999993</v>
      </c>
      <c r="BR27" s="29">
        <f t="shared" si="35"/>
        <v>0</v>
      </c>
      <c r="BS27" s="13">
        <f t="shared" si="36"/>
        <v>0</v>
      </c>
      <c r="BT27" s="5"/>
      <c r="BW27" s="112">
        <f t="shared" si="31"/>
        <v>0</v>
      </c>
      <c r="BX27" s="30" t="s">
        <v>0</v>
      </c>
      <c r="BY27" s="15">
        <f>SUM(BY18:BY26)</f>
        <v>850.5</v>
      </c>
      <c r="CA27" s="114">
        <f>IF(BZ$3=1,BY27,0)</f>
        <v>0</v>
      </c>
      <c r="CC27" s="112"/>
      <c r="CD27" s="28">
        <f>CC28-CC29</f>
        <v>12450</v>
      </c>
      <c r="CE27" s="14">
        <f>CD27*CF6</f>
        <v>1182.75</v>
      </c>
      <c r="CF27" s="101"/>
      <c r="CI27" s="112">
        <f>IF(($A$24-CJ9)&lt;0,0,($A$24-CJ9))</f>
        <v>0</v>
      </c>
      <c r="CJ27" s="29">
        <f>CI28</f>
        <v>0</v>
      </c>
      <c r="CK27" s="13">
        <f>CJ27*CL10</f>
        <v>0</v>
      </c>
      <c r="CL27" s="113"/>
      <c r="CO27" s="112"/>
      <c r="CP27" s="28">
        <f>CO28-CO29</f>
        <v>12450</v>
      </c>
      <c r="CQ27" s="14">
        <f>CP27*CR6</f>
        <v>1182.75</v>
      </c>
      <c r="CR27" s="101"/>
      <c r="CU27" s="112"/>
      <c r="CV27" s="101"/>
      <c r="CW27" s="101"/>
      <c r="CX27" s="101"/>
      <c r="DA27" s="112">
        <f>IF(($A$24-DB9)&lt;0,0,($A$24-DB9))</f>
        <v>0</v>
      </c>
      <c r="DB27" s="29">
        <f>DA28</f>
        <v>0</v>
      </c>
      <c r="DC27" s="13">
        <f>DB27*DD10</f>
        <v>0</v>
      </c>
      <c r="DD27" s="113"/>
      <c r="DG27" s="112">
        <f>IF(($A$24-DH9)&lt;0,0,($A$24-DH9))</f>
        <v>0</v>
      </c>
      <c r="DH27" s="29">
        <f>DG28</f>
        <v>0</v>
      </c>
      <c r="DI27" s="13">
        <f>DH27*DJ10</f>
        <v>0</v>
      </c>
      <c r="DJ27" s="113"/>
    </row>
    <row r="28" spans="1:116" ht="13.8" thickBot="1">
      <c r="C28" s="112">
        <f>IF(($A$24-D10)&lt;0,0,($A$24-D10))</f>
        <v>0</v>
      </c>
      <c r="D28" s="30" t="s">
        <v>0</v>
      </c>
      <c r="E28" s="15">
        <f>SUM(E23:E27)</f>
        <v>2154.15</v>
      </c>
      <c r="F28" s="113"/>
      <c r="H28" s="115">
        <f>IF(F$3=1,E28,0)</f>
        <v>2154.15</v>
      </c>
      <c r="I28" s="112">
        <f>IF(($A$24-J10)&lt;0,0,($A$24-J10))</f>
        <v>0</v>
      </c>
      <c r="J28" s="30" t="s">
        <v>0</v>
      </c>
      <c r="K28" s="15">
        <f>SUM(K23:K27)</f>
        <v>2154.15</v>
      </c>
      <c r="L28" s="113"/>
      <c r="N28" s="115">
        <f>IF(L$3=1,K28,0)</f>
        <v>0</v>
      </c>
      <c r="O28" s="112"/>
      <c r="P28" s="373" t="s">
        <v>14</v>
      </c>
      <c r="Q28" s="374"/>
      <c r="R28" s="101"/>
      <c r="U28" s="112">
        <f>IF(($A$24-V10)&lt;0,0,($A$24-V10))</f>
        <v>0</v>
      </c>
      <c r="V28" s="30" t="s">
        <v>0</v>
      </c>
      <c r="W28" s="15">
        <f>SUM(W23:W27)</f>
        <v>2139.8067999999998</v>
      </c>
      <c r="X28" s="113"/>
      <c r="Z28" s="115">
        <f>IF(X$3=1,W28,0)</f>
        <v>0</v>
      </c>
      <c r="AA28" s="112">
        <f t="shared" si="32"/>
        <v>0</v>
      </c>
      <c r="AB28" s="29">
        <f t="shared" si="28"/>
        <v>0</v>
      </c>
      <c r="AC28" s="13">
        <f t="shared" si="29"/>
        <v>0</v>
      </c>
      <c r="AD28" s="113"/>
      <c r="AG28" s="112"/>
      <c r="AH28" s="373" t="s">
        <v>14</v>
      </c>
      <c r="AI28" s="374"/>
      <c r="AJ28" s="101"/>
      <c r="AM28" s="112"/>
      <c r="AN28" s="101"/>
      <c r="AO28" s="101"/>
      <c r="AP28" s="101"/>
      <c r="AS28" s="112">
        <f t="shared" si="37"/>
        <v>2774.7900000000009</v>
      </c>
      <c r="AT28" s="29">
        <f t="shared" si="33"/>
        <v>0</v>
      </c>
      <c r="AU28" s="13">
        <f t="shared" si="34"/>
        <v>0</v>
      </c>
      <c r="AV28" s="113"/>
      <c r="AY28" s="112">
        <f>IF(($A$24-AZ6)&lt;0,0,($A$24-AZ6))</f>
        <v>20476</v>
      </c>
      <c r="AZ28" s="29">
        <f t="shared" ref="AZ28:AZ33" si="39">AY29-AY30</f>
        <v>7750</v>
      </c>
      <c r="BA28" s="13">
        <f t="shared" ref="BA28:BA33" si="40">AZ28*BB7</f>
        <v>930</v>
      </c>
      <c r="BB28" s="101"/>
      <c r="BE28" s="112">
        <f>IF(($A$24-BF10)&lt;0,0,($A$24-BF10))</f>
        <v>0</v>
      </c>
      <c r="BF28" s="30" t="s">
        <v>0</v>
      </c>
      <c r="BG28" s="15">
        <f>SUM(BG23:BG27)</f>
        <v>2154.15</v>
      </c>
      <c r="BH28" s="113"/>
      <c r="BJ28" s="115">
        <f>IF(BH$3=1,BG28,0)</f>
        <v>0</v>
      </c>
      <c r="BK28" s="112">
        <f>IF(($A$24-BL10)&lt;0,0,($A$24-BL10))</f>
        <v>0</v>
      </c>
      <c r="BL28" s="30" t="s">
        <v>0</v>
      </c>
      <c r="BM28" s="15">
        <f>SUM(BM23:BM27)</f>
        <v>2151.39</v>
      </c>
      <c r="BN28" s="113"/>
      <c r="BP28" s="115">
        <f>IF(BN$3=1,BM28,0)</f>
        <v>0</v>
      </c>
      <c r="BQ28" s="112">
        <f t="shared" si="38"/>
        <v>0</v>
      </c>
      <c r="BR28" s="29">
        <f t="shared" si="35"/>
        <v>0</v>
      </c>
      <c r="BS28" s="13">
        <f t="shared" si="36"/>
        <v>0</v>
      </c>
      <c r="BT28" s="113"/>
      <c r="BW28" s="112"/>
      <c r="BX28" s="101"/>
      <c r="BY28" s="101"/>
      <c r="BZ28" s="101"/>
      <c r="CC28" s="112">
        <f>IF(($A$24-CD6)&lt;0,0,($A$24-CD6))</f>
        <v>20476</v>
      </c>
      <c r="CD28" s="29">
        <f t="shared" ref="CD28:CD33" si="41">CC29-CC30</f>
        <v>7750</v>
      </c>
      <c r="CE28" s="13">
        <f t="shared" ref="CE28:CE33" si="42">CD28*CF7</f>
        <v>910.625</v>
      </c>
      <c r="CF28" s="101"/>
      <c r="CI28" s="112">
        <f>IF(($A$24-CJ10)&lt;0,0,($A$24-CJ10))</f>
        <v>0</v>
      </c>
      <c r="CJ28" s="30" t="s">
        <v>0</v>
      </c>
      <c r="CK28" s="15">
        <f>SUM(CK23:CK27)</f>
        <v>2256.5300000000002</v>
      </c>
      <c r="CL28" s="113"/>
      <c r="CN28" s="115">
        <f>IF(CL$3=1,CK28,0)</f>
        <v>0</v>
      </c>
      <c r="CO28" s="112">
        <f>IF(($A$24-CP6)&lt;0,0,($A$24-CP6))</f>
        <v>20476</v>
      </c>
      <c r="CP28" s="29">
        <f t="shared" ref="CP28:CP33" si="43">CO29-CO30</f>
        <v>7750</v>
      </c>
      <c r="CQ28" s="13">
        <f t="shared" ref="CQ28:CQ33" si="44">CP28*CR7</f>
        <v>930</v>
      </c>
      <c r="CR28" s="101"/>
      <c r="CU28" s="112"/>
      <c r="CV28" s="373" t="s">
        <v>14</v>
      </c>
      <c r="CW28" s="374"/>
      <c r="CX28" s="101"/>
      <c r="DA28" s="112">
        <f>IF(($A$24-DB10)&lt;0,0,($A$24-DB10))</f>
        <v>0</v>
      </c>
      <c r="DB28" s="30" t="s">
        <v>0</v>
      </c>
      <c r="DC28" s="15">
        <f>SUM(DC23:DC27)</f>
        <v>2154.15</v>
      </c>
      <c r="DD28" s="113"/>
      <c r="DF28" s="115">
        <f>IF(DD$3=1,DC28,0)</f>
        <v>0</v>
      </c>
      <c r="DG28" s="112">
        <f>IF(($A$24-DH10)&lt;0,0,($A$24-DH10))</f>
        <v>0</v>
      </c>
      <c r="DH28" s="30" t="s">
        <v>0</v>
      </c>
      <c r="DI28" s="15">
        <f>SUM(DI23:DI27)</f>
        <v>2154.15</v>
      </c>
      <c r="DJ28" s="113"/>
      <c r="DL28" s="115">
        <f>IF(DJ$3=1,DI28,0)</f>
        <v>0</v>
      </c>
    </row>
    <row r="29" spans="1:116" ht="13.8" thickBot="1">
      <c r="O29" s="112"/>
      <c r="P29" s="28">
        <f>O30-O31</f>
        <v>12450</v>
      </c>
      <c r="Q29" s="14">
        <f>P29*R6</f>
        <v>1245</v>
      </c>
      <c r="R29" s="101"/>
      <c r="AA29" s="112">
        <f t="shared" si="32"/>
        <v>0</v>
      </c>
      <c r="AB29" s="30" t="s">
        <v>0</v>
      </c>
      <c r="AC29" s="15">
        <f>SUM(AC19:AC28)</f>
        <v>810</v>
      </c>
      <c r="AE29" s="114">
        <f>IF(AD$3=1,AC29,0)</f>
        <v>0</v>
      </c>
      <c r="AG29" s="112"/>
      <c r="AH29" s="28">
        <f>AG30-AG31</f>
        <v>12450</v>
      </c>
      <c r="AI29" s="14">
        <f>AH29*AJ6</f>
        <v>1245</v>
      </c>
      <c r="AJ29" s="101"/>
      <c r="AM29" s="112"/>
      <c r="AN29" s="101"/>
      <c r="AO29" s="101"/>
      <c r="AP29" s="101"/>
      <c r="AS29" s="112">
        <f t="shared" si="37"/>
        <v>0</v>
      </c>
      <c r="AT29" s="29">
        <f t="shared" si="33"/>
        <v>0</v>
      </c>
      <c r="AU29" s="13">
        <f t="shared" si="34"/>
        <v>0</v>
      </c>
      <c r="AV29" s="113"/>
      <c r="AY29" s="112">
        <f t="shared" ref="AY29:AY34" si="45">IF(($A$24-AZ7)&lt;0,0,($A$24-AZ7))</f>
        <v>8026</v>
      </c>
      <c r="AZ29" s="29">
        <f t="shared" si="39"/>
        <v>276</v>
      </c>
      <c r="BA29" s="13">
        <f t="shared" si="40"/>
        <v>41.4</v>
      </c>
      <c r="BB29" s="5"/>
      <c r="BQ29" s="112">
        <f t="shared" si="38"/>
        <v>0</v>
      </c>
      <c r="BR29" s="29">
        <f t="shared" si="35"/>
        <v>0</v>
      </c>
      <c r="BS29" s="13">
        <f t="shared" si="36"/>
        <v>0</v>
      </c>
      <c r="BT29" s="113"/>
      <c r="BW29" s="112"/>
      <c r="BX29" s="101"/>
      <c r="BY29" s="101"/>
      <c r="BZ29" s="101"/>
      <c r="CC29" s="112">
        <f t="shared" ref="CC29:CC34" si="46">IF(($A$24-CD7)&lt;0,0,($A$24-CD7))</f>
        <v>8026</v>
      </c>
      <c r="CD29" s="29">
        <f t="shared" si="41"/>
        <v>276</v>
      </c>
      <c r="CE29" s="13">
        <f t="shared" si="42"/>
        <v>42.78</v>
      </c>
      <c r="CF29" s="5"/>
      <c r="CO29" s="112">
        <f t="shared" ref="CO29:CO34" si="47">IF(($A$24-CP7)&lt;0,0,($A$24-CP7))</f>
        <v>8026</v>
      </c>
      <c r="CP29" s="29">
        <f t="shared" si="43"/>
        <v>276</v>
      </c>
      <c r="CQ29" s="13">
        <f t="shared" si="44"/>
        <v>41.4</v>
      </c>
      <c r="CR29" s="5"/>
      <c r="CU29" s="112"/>
      <c r="CV29" s="28">
        <f>CU30-CU31</f>
        <v>12450</v>
      </c>
      <c r="CW29" s="14">
        <f>CV29*CX6</f>
        <v>1245</v>
      </c>
      <c r="CX29" s="101"/>
    </row>
    <row r="30" spans="1:116" ht="13.8" thickBot="1">
      <c r="O30" s="112">
        <f>IF(($A$24-P6)&lt;0,0,($A$24-P6))</f>
        <v>20476</v>
      </c>
      <c r="P30" s="29">
        <f t="shared" ref="P30:P36" si="48">O31-O32</f>
        <v>7750</v>
      </c>
      <c r="Q30" s="13">
        <f t="shared" ref="Q30:Q36" si="49">P30*R7</f>
        <v>930</v>
      </c>
      <c r="R30" s="101"/>
      <c r="AA30" s="112"/>
      <c r="AB30" s="101"/>
      <c r="AC30" s="101"/>
      <c r="AD30" s="101"/>
      <c r="AG30" s="112">
        <f>IF(($A$24-AH6)&lt;0,0,($A$24-AH6))</f>
        <v>20476</v>
      </c>
      <c r="AH30" s="29">
        <f t="shared" ref="AH30:AH36" si="50">AG31-AG32</f>
        <v>5257.2000000000007</v>
      </c>
      <c r="AI30" s="13">
        <f t="shared" ref="AI30:AI36" si="51">AH30*AJ7</f>
        <v>630.86400000000003</v>
      </c>
      <c r="AJ30" s="101"/>
      <c r="AM30" s="112"/>
      <c r="AN30" s="373" t="s">
        <v>14</v>
      </c>
      <c r="AO30" s="374"/>
      <c r="AP30" s="101"/>
      <c r="AS30" s="112">
        <f t="shared" si="37"/>
        <v>0</v>
      </c>
      <c r="AT30" s="29">
        <f t="shared" si="33"/>
        <v>0</v>
      </c>
      <c r="AU30" s="13">
        <f t="shared" si="34"/>
        <v>0</v>
      </c>
      <c r="AV30" s="113"/>
      <c r="AY30" s="112">
        <f t="shared" si="45"/>
        <v>276</v>
      </c>
      <c r="AZ30" s="29">
        <f t="shared" si="39"/>
        <v>0</v>
      </c>
      <c r="BA30" s="13">
        <f t="shared" si="40"/>
        <v>0</v>
      </c>
      <c r="BB30" s="113"/>
      <c r="BQ30" s="112">
        <f t="shared" si="38"/>
        <v>0</v>
      </c>
      <c r="BR30" s="29">
        <f t="shared" si="35"/>
        <v>0</v>
      </c>
      <c r="BS30" s="13">
        <f t="shared" si="36"/>
        <v>0</v>
      </c>
      <c r="BT30" s="113"/>
      <c r="BW30" s="112"/>
      <c r="BX30" s="373" t="s">
        <v>14</v>
      </c>
      <c r="BY30" s="374"/>
      <c r="BZ30" s="101"/>
      <c r="CC30" s="112">
        <f t="shared" si="46"/>
        <v>276</v>
      </c>
      <c r="CD30" s="29">
        <f t="shared" si="41"/>
        <v>0</v>
      </c>
      <c r="CE30" s="13">
        <f t="shared" si="42"/>
        <v>0</v>
      </c>
      <c r="CF30" s="113"/>
      <c r="CO30" s="112">
        <f t="shared" si="47"/>
        <v>276</v>
      </c>
      <c r="CP30" s="29">
        <f t="shared" si="43"/>
        <v>0</v>
      </c>
      <c r="CQ30" s="13">
        <f t="shared" si="44"/>
        <v>0</v>
      </c>
      <c r="CR30" s="113"/>
      <c r="CU30" s="112">
        <f>IF(($A$24-CV6)&lt;0,0,($A$24-CV6))</f>
        <v>20476</v>
      </c>
      <c r="CV30" s="29">
        <f t="shared" ref="CV30:CV36" si="52">CU31-CU32</f>
        <v>4550</v>
      </c>
      <c r="CW30" s="13">
        <f t="shared" ref="CW30:CW36" si="53">CV30*CX7</f>
        <v>500.5</v>
      </c>
      <c r="CX30" s="101"/>
    </row>
    <row r="31" spans="1:116" ht="13.8" thickBot="1">
      <c r="O31" s="112">
        <f t="shared" ref="O31:O37" si="54">IF(($A$24-P7)&lt;0,0,($A$24-P7))</f>
        <v>8026</v>
      </c>
      <c r="P31" s="29">
        <f t="shared" si="48"/>
        <v>276</v>
      </c>
      <c r="Q31" s="13">
        <f t="shared" si="49"/>
        <v>41.4</v>
      </c>
      <c r="R31" s="5"/>
      <c r="AA31" s="112"/>
      <c r="AB31" s="101"/>
      <c r="AC31" s="101"/>
      <c r="AD31" s="101"/>
      <c r="AG31" s="112">
        <f t="shared" ref="AG31:AG37" si="55">IF(($A$24-AH7)&lt;0,0,($A$24-AH7))</f>
        <v>8026</v>
      </c>
      <c r="AH31" s="29">
        <f t="shared" si="50"/>
        <v>2768.7999999999993</v>
      </c>
      <c r="AI31" s="13">
        <f t="shared" si="51"/>
        <v>387.63199999999995</v>
      </c>
      <c r="AJ31" s="5"/>
      <c r="AM31" s="112"/>
      <c r="AN31" s="28">
        <f>AM32-AM33</f>
        <v>10000</v>
      </c>
      <c r="AO31" s="14">
        <f>AN31*AP6</f>
        <v>950</v>
      </c>
      <c r="AP31" s="101"/>
      <c r="AS31" s="112">
        <f t="shared" si="37"/>
        <v>0</v>
      </c>
      <c r="AT31" s="30" t="s">
        <v>0</v>
      </c>
      <c r="AU31" s="15">
        <f>SUM(AU25:AU30)</f>
        <v>2201.3658</v>
      </c>
      <c r="AV31" s="113"/>
      <c r="AX31" s="115">
        <f>IF(AV$3=1,AU31,0)</f>
        <v>0</v>
      </c>
      <c r="AY31" s="112">
        <f t="shared" si="45"/>
        <v>0</v>
      </c>
      <c r="AZ31" s="29">
        <f t="shared" si="39"/>
        <v>0</v>
      </c>
      <c r="BA31" s="13">
        <f t="shared" si="40"/>
        <v>0</v>
      </c>
      <c r="BB31" s="113"/>
      <c r="BQ31" s="112">
        <f t="shared" si="38"/>
        <v>0</v>
      </c>
      <c r="BR31" s="30" t="s">
        <v>0</v>
      </c>
      <c r="BS31" s="15">
        <f>SUM(BS25:BS30)</f>
        <v>2512.4960000000001</v>
      </c>
      <c r="BT31" s="113"/>
      <c r="BV31" s="115">
        <f>IF(BT$3=1,BS31,0)</f>
        <v>0</v>
      </c>
      <c r="BW31" s="112"/>
      <c r="BX31" s="28">
        <f>BW32-BW33</f>
        <v>12450</v>
      </c>
      <c r="BY31" s="14">
        <f>BX31*BZ6</f>
        <v>1307.25</v>
      </c>
      <c r="BZ31" s="101"/>
      <c r="CC31" s="112">
        <f t="shared" si="46"/>
        <v>0</v>
      </c>
      <c r="CD31" s="29">
        <f t="shared" si="41"/>
        <v>0</v>
      </c>
      <c r="CE31" s="13">
        <f t="shared" si="42"/>
        <v>0</v>
      </c>
      <c r="CF31" s="113"/>
      <c r="CO31" s="112">
        <f t="shared" si="47"/>
        <v>0</v>
      </c>
      <c r="CP31" s="29">
        <f t="shared" si="43"/>
        <v>0</v>
      </c>
      <c r="CQ31" s="13">
        <f t="shared" si="44"/>
        <v>0</v>
      </c>
      <c r="CR31" s="113"/>
      <c r="CU31" s="112">
        <f t="shared" ref="CU31:CU37" si="56">IF(($A$24-CV7)&lt;0,0,($A$24-CV7))</f>
        <v>8026</v>
      </c>
      <c r="CV31" s="29">
        <f t="shared" si="52"/>
        <v>3476</v>
      </c>
      <c r="CW31" s="13">
        <f t="shared" si="53"/>
        <v>483.16400000000004</v>
      </c>
      <c r="CX31" s="5"/>
    </row>
    <row r="32" spans="1:116" ht="13.8" thickBot="1">
      <c r="O32" s="112">
        <f t="shared" si="54"/>
        <v>276</v>
      </c>
      <c r="P32" s="29">
        <f t="shared" si="48"/>
        <v>0</v>
      </c>
      <c r="Q32" s="13">
        <f t="shared" si="49"/>
        <v>0</v>
      </c>
      <c r="R32" s="113"/>
      <c r="AA32" s="112"/>
      <c r="AB32" s="373" t="s">
        <v>14</v>
      </c>
      <c r="AC32" s="374"/>
      <c r="AD32" s="101"/>
      <c r="AG32" s="112">
        <f t="shared" si="55"/>
        <v>2768.7999999999993</v>
      </c>
      <c r="AH32" s="29">
        <f t="shared" si="50"/>
        <v>0</v>
      </c>
      <c r="AI32" s="13">
        <f t="shared" si="51"/>
        <v>0</v>
      </c>
      <c r="AJ32" s="113"/>
      <c r="AM32" s="112">
        <f>IF(($A$24-AN6)&lt;0,0,($A$24-AN6))</f>
        <v>20476</v>
      </c>
      <c r="AN32" s="29">
        <f t="shared" ref="AN32:AN39" si="57">AM33-AM34</f>
        <v>8000</v>
      </c>
      <c r="AO32" s="13">
        <f t="shared" ref="AO32:AO39" si="58">AN32*AP7</f>
        <v>940</v>
      </c>
      <c r="AP32" s="101"/>
      <c r="AY32" s="112">
        <f t="shared" si="45"/>
        <v>0</v>
      </c>
      <c r="AZ32" s="29">
        <f t="shared" si="39"/>
        <v>0</v>
      </c>
      <c r="BA32" s="13">
        <f t="shared" si="40"/>
        <v>0</v>
      </c>
      <c r="BB32" s="113"/>
      <c r="BW32" s="112">
        <f>IF(($A$24-BX6)&lt;0,0,($A$24-BX6))</f>
        <v>20476</v>
      </c>
      <c r="BX32" s="29">
        <f t="shared" ref="BX32:BX39" si="59">BW33-BW34</f>
        <v>7750</v>
      </c>
      <c r="BY32" s="13">
        <f t="shared" ref="BY32:BY39" si="60">BX32*BZ7</f>
        <v>968.75</v>
      </c>
      <c r="BZ32" s="101"/>
      <c r="CC32" s="112">
        <f t="shared" si="46"/>
        <v>0</v>
      </c>
      <c r="CD32" s="29">
        <f t="shared" si="41"/>
        <v>0</v>
      </c>
      <c r="CE32" s="13">
        <f t="shared" si="42"/>
        <v>0</v>
      </c>
      <c r="CF32" s="113"/>
      <c r="CO32" s="112">
        <f t="shared" si="47"/>
        <v>0</v>
      </c>
      <c r="CP32" s="29">
        <f t="shared" si="43"/>
        <v>0</v>
      </c>
      <c r="CQ32" s="13">
        <f t="shared" si="44"/>
        <v>0</v>
      </c>
      <c r="CR32" s="113"/>
      <c r="CU32" s="112">
        <f t="shared" si="56"/>
        <v>3476</v>
      </c>
      <c r="CV32" s="29">
        <f t="shared" si="52"/>
        <v>0</v>
      </c>
      <c r="CW32" s="13">
        <f t="shared" si="53"/>
        <v>0</v>
      </c>
      <c r="CX32" s="113"/>
    </row>
    <row r="33" spans="3:116">
      <c r="O33" s="112">
        <f t="shared" si="54"/>
        <v>0</v>
      </c>
      <c r="P33" s="29">
        <f t="shared" si="48"/>
        <v>0</v>
      </c>
      <c r="Q33" s="13">
        <f t="shared" si="49"/>
        <v>0</v>
      </c>
      <c r="R33" s="113"/>
      <c r="AA33" s="112"/>
      <c r="AB33" s="28">
        <f>AA34-AA35</f>
        <v>12450</v>
      </c>
      <c r="AC33" s="14">
        <f>AB33*AD6</f>
        <v>1245</v>
      </c>
      <c r="AD33" s="101"/>
      <c r="AG33" s="112">
        <f t="shared" si="55"/>
        <v>0</v>
      </c>
      <c r="AH33" s="29">
        <f t="shared" si="50"/>
        <v>0</v>
      </c>
      <c r="AI33" s="13">
        <f t="shared" si="51"/>
        <v>0</v>
      </c>
      <c r="AJ33" s="113"/>
      <c r="AM33" s="112">
        <f t="shared" ref="AM33:AM40" si="61">IF(($A$24-AN7)&lt;0,0,($A$24-AN7))</f>
        <v>10476</v>
      </c>
      <c r="AN33" s="29">
        <f t="shared" si="57"/>
        <v>2476</v>
      </c>
      <c r="AO33" s="13">
        <f t="shared" si="58"/>
        <v>365.21</v>
      </c>
      <c r="AP33" s="5"/>
      <c r="AY33" s="112">
        <f t="shared" si="45"/>
        <v>0</v>
      </c>
      <c r="AZ33" s="29">
        <f t="shared" si="39"/>
        <v>0</v>
      </c>
      <c r="BA33" s="13">
        <f t="shared" si="40"/>
        <v>0</v>
      </c>
      <c r="BB33" s="113"/>
      <c r="BW33" s="112">
        <f t="shared" ref="BW33:BW40" si="62">IF(($A$24-BX7)&lt;0,0,($A$24-BX7))</f>
        <v>8026</v>
      </c>
      <c r="BX33" s="29">
        <f t="shared" si="59"/>
        <v>276</v>
      </c>
      <c r="BY33" s="13">
        <f t="shared" si="60"/>
        <v>42.78</v>
      </c>
      <c r="BZ33" s="5"/>
      <c r="CC33" s="112">
        <f t="shared" si="46"/>
        <v>0</v>
      </c>
      <c r="CD33" s="29">
        <f t="shared" si="41"/>
        <v>0</v>
      </c>
      <c r="CE33" s="13">
        <f t="shared" si="42"/>
        <v>0</v>
      </c>
      <c r="CF33" s="113"/>
      <c r="CO33" s="112">
        <f t="shared" si="47"/>
        <v>0</v>
      </c>
      <c r="CP33" s="29">
        <f t="shared" si="43"/>
        <v>0</v>
      </c>
      <c r="CQ33" s="13">
        <f t="shared" si="44"/>
        <v>0</v>
      </c>
      <c r="CR33" s="113"/>
      <c r="CU33" s="112">
        <f t="shared" si="56"/>
        <v>0</v>
      </c>
      <c r="CV33" s="29">
        <f t="shared" si="52"/>
        <v>0</v>
      </c>
      <c r="CW33" s="13">
        <f t="shared" si="53"/>
        <v>0</v>
      </c>
      <c r="CX33" s="113"/>
    </row>
    <row r="34" spans="3:116" ht="13.8" thickBot="1">
      <c r="O34" s="112">
        <f t="shared" si="54"/>
        <v>0</v>
      </c>
      <c r="P34" s="29">
        <f t="shared" si="48"/>
        <v>0</v>
      </c>
      <c r="Q34" s="13">
        <f t="shared" si="49"/>
        <v>0</v>
      </c>
      <c r="R34" s="113"/>
      <c r="AA34" s="112">
        <f>IF(($A$24-AB6)&lt;0,0,($A$24-AB6))</f>
        <v>20476</v>
      </c>
      <c r="AB34" s="29">
        <f t="shared" ref="AB34:AB42" si="63">AA35-AA36</f>
        <v>7750</v>
      </c>
      <c r="AC34" s="13">
        <f t="shared" ref="AC34:AC42" si="64">AB34*AD7</f>
        <v>968.75</v>
      </c>
      <c r="AD34" s="101"/>
      <c r="AG34" s="112">
        <f t="shared" si="55"/>
        <v>0</v>
      </c>
      <c r="AH34" s="29">
        <f t="shared" si="50"/>
        <v>0</v>
      </c>
      <c r="AI34" s="13">
        <f t="shared" si="51"/>
        <v>0</v>
      </c>
      <c r="AJ34" s="113"/>
      <c r="AM34" s="112">
        <f t="shared" si="61"/>
        <v>2476</v>
      </c>
      <c r="AN34" s="29">
        <f t="shared" si="57"/>
        <v>0</v>
      </c>
      <c r="AO34" s="13">
        <f t="shared" si="58"/>
        <v>0</v>
      </c>
      <c r="AP34" s="113"/>
      <c r="AY34" s="112">
        <f t="shared" si="45"/>
        <v>0</v>
      </c>
      <c r="AZ34" s="30" t="s">
        <v>0</v>
      </c>
      <c r="BA34" s="15">
        <f>SUM(BA27:BA33)</f>
        <v>2154.15</v>
      </c>
      <c r="BB34" s="113"/>
      <c r="BD34" s="115">
        <f>IF(BB$3=1,BA34,0)</f>
        <v>0</v>
      </c>
      <c r="BW34" s="112">
        <f t="shared" si="62"/>
        <v>276</v>
      </c>
      <c r="BX34" s="29">
        <f t="shared" si="59"/>
        <v>0</v>
      </c>
      <c r="BY34" s="13">
        <f t="shared" si="60"/>
        <v>0</v>
      </c>
      <c r="BZ34" s="113"/>
      <c r="CC34" s="112">
        <f t="shared" si="46"/>
        <v>0</v>
      </c>
      <c r="CD34" s="30" t="s">
        <v>0</v>
      </c>
      <c r="CE34" s="15">
        <f>SUM(CE27:CE33)</f>
        <v>2136.1550000000002</v>
      </c>
      <c r="CF34" s="113"/>
      <c r="CH34" s="115">
        <f>IF(CF$3=1,CE34,0)</f>
        <v>0</v>
      </c>
      <c r="CO34" s="112">
        <f t="shared" si="47"/>
        <v>0</v>
      </c>
      <c r="CP34" s="30" t="s">
        <v>0</v>
      </c>
      <c r="CQ34" s="15">
        <f>SUM(CQ27:CQ33)</f>
        <v>2154.15</v>
      </c>
      <c r="CR34" s="113"/>
      <c r="CT34" s="115">
        <f>IF(CR$3=1,CQ34,0)</f>
        <v>0</v>
      </c>
      <c r="CU34" s="112">
        <f t="shared" si="56"/>
        <v>0</v>
      </c>
      <c r="CV34" s="29">
        <f t="shared" si="52"/>
        <v>0</v>
      </c>
      <c r="CW34" s="13">
        <f t="shared" si="53"/>
        <v>0</v>
      </c>
      <c r="CX34" s="113"/>
    </row>
    <row r="35" spans="3:116">
      <c r="O35" s="112">
        <f t="shared" si="54"/>
        <v>0</v>
      </c>
      <c r="P35" s="29">
        <f t="shared" si="48"/>
        <v>0</v>
      </c>
      <c r="Q35" s="13">
        <f t="shared" si="49"/>
        <v>0</v>
      </c>
      <c r="R35" s="113"/>
      <c r="AA35" s="112">
        <f t="shared" ref="AA35:AA43" si="65">IF(($A$24-AB7)&lt;0,0,($A$24-AB7))</f>
        <v>8026</v>
      </c>
      <c r="AB35" s="29">
        <f t="shared" si="63"/>
        <v>276</v>
      </c>
      <c r="AC35" s="13">
        <f t="shared" si="64"/>
        <v>42.78</v>
      </c>
      <c r="AD35" s="5"/>
      <c r="AG35" s="112">
        <f t="shared" si="55"/>
        <v>0</v>
      </c>
      <c r="AH35" s="29">
        <f t="shared" si="50"/>
        <v>0</v>
      </c>
      <c r="AI35" s="13">
        <f t="shared" si="51"/>
        <v>0</v>
      </c>
      <c r="AJ35" s="113"/>
      <c r="AM35" s="112">
        <f t="shared" si="61"/>
        <v>0</v>
      </c>
      <c r="AN35" s="29">
        <f t="shared" si="57"/>
        <v>0</v>
      </c>
      <c r="AO35" s="13">
        <f t="shared" si="58"/>
        <v>0</v>
      </c>
      <c r="AP35" s="113"/>
      <c r="BW35" s="112">
        <f t="shared" si="62"/>
        <v>0</v>
      </c>
      <c r="BX35" s="29">
        <f t="shared" si="59"/>
        <v>0</v>
      </c>
      <c r="BY35" s="13">
        <f t="shared" si="60"/>
        <v>0</v>
      </c>
      <c r="BZ35" s="113"/>
      <c r="CU35" s="112">
        <f t="shared" si="56"/>
        <v>0</v>
      </c>
      <c r="CV35" s="29">
        <f t="shared" si="52"/>
        <v>0</v>
      </c>
      <c r="CW35" s="13">
        <f t="shared" si="53"/>
        <v>0</v>
      </c>
      <c r="CX35" s="113"/>
    </row>
    <row r="36" spans="3:116">
      <c r="O36" s="112">
        <f t="shared" si="54"/>
        <v>0</v>
      </c>
      <c r="P36" s="29">
        <f t="shared" si="48"/>
        <v>0</v>
      </c>
      <c r="Q36" s="13">
        <f t="shared" si="49"/>
        <v>0</v>
      </c>
      <c r="R36" s="113"/>
      <c r="AA36" s="112">
        <f t="shared" si="65"/>
        <v>276</v>
      </c>
      <c r="AB36" s="29">
        <f t="shared" si="63"/>
        <v>0</v>
      </c>
      <c r="AC36" s="13">
        <f t="shared" si="64"/>
        <v>0</v>
      </c>
      <c r="AD36" s="113"/>
      <c r="AG36" s="112">
        <f t="shared" si="55"/>
        <v>0</v>
      </c>
      <c r="AH36" s="29">
        <f t="shared" si="50"/>
        <v>0</v>
      </c>
      <c r="AI36" s="13">
        <f t="shared" si="51"/>
        <v>0</v>
      </c>
      <c r="AJ36" s="113"/>
      <c r="AM36" s="112">
        <f t="shared" si="61"/>
        <v>0</v>
      </c>
      <c r="AN36" s="29">
        <f t="shared" si="57"/>
        <v>0</v>
      </c>
      <c r="AO36" s="13">
        <f t="shared" si="58"/>
        <v>0</v>
      </c>
      <c r="AP36" s="113"/>
      <c r="BW36" s="112">
        <f t="shared" si="62"/>
        <v>0</v>
      </c>
      <c r="BX36" s="29">
        <f t="shared" si="59"/>
        <v>0</v>
      </c>
      <c r="BY36" s="13">
        <f t="shared" si="60"/>
        <v>0</v>
      </c>
      <c r="BZ36" s="113"/>
      <c r="CU36" s="112">
        <f t="shared" si="56"/>
        <v>0</v>
      </c>
      <c r="CV36" s="29">
        <f t="shared" si="52"/>
        <v>0</v>
      </c>
      <c r="CW36" s="13">
        <f t="shared" si="53"/>
        <v>0</v>
      </c>
      <c r="CX36" s="113"/>
    </row>
    <row r="37" spans="3:116" ht="13.8" thickBot="1">
      <c r="O37" s="112">
        <f t="shared" si="54"/>
        <v>0</v>
      </c>
      <c r="P37" s="30" t="s">
        <v>0</v>
      </c>
      <c r="Q37" s="15">
        <f>SUM(Q29:Q36)</f>
        <v>2216.4</v>
      </c>
      <c r="R37" s="113"/>
      <c r="T37" s="115">
        <f>IF(R$3=1,Q37,0)</f>
        <v>0</v>
      </c>
      <c r="AA37" s="112">
        <f t="shared" si="65"/>
        <v>0</v>
      </c>
      <c r="AB37" s="29">
        <f t="shared" si="63"/>
        <v>0</v>
      </c>
      <c r="AC37" s="13">
        <f t="shared" si="64"/>
        <v>0</v>
      </c>
      <c r="AD37" s="113"/>
      <c r="AG37" s="112">
        <f t="shared" si="55"/>
        <v>0</v>
      </c>
      <c r="AH37" s="30" t="s">
        <v>0</v>
      </c>
      <c r="AI37" s="15">
        <f>SUM(AI29:AI36)</f>
        <v>2263.4960000000001</v>
      </c>
      <c r="AJ37" s="113"/>
      <c r="AL37" s="115">
        <f>IF(AJ$3=1,AI37,0)</f>
        <v>0</v>
      </c>
      <c r="AM37" s="112">
        <f t="shared" si="61"/>
        <v>0</v>
      </c>
      <c r="AN37" s="29">
        <f t="shared" si="57"/>
        <v>0</v>
      </c>
      <c r="AO37" s="13">
        <f t="shared" si="58"/>
        <v>0</v>
      </c>
      <c r="AP37" s="113"/>
      <c r="BW37" s="112">
        <f t="shared" si="62"/>
        <v>0</v>
      </c>
      <c r="BX37" s="29">
        <f t="shared" si="59"/>
        <v>0</v>
      </c>
      <c r="BY37" s="13">
        <f t="shared" si="60"/>
        <v>0</v>
      </c>
      <c r="BZ37" s="113"/>
      <c r="CU37" s="112">
        <f t="shared" si="56"/>
        <v>0</v>
      </c>
      <c r="CV37" s="30" t="s">
        <v>0</v>
      </c>
      <c r="CW37" s="15">
        <f>SUM(CW29:CW36)</f>
        <v>2228.6640000000002</v>
      </c>
      <c r="CX37" s="113"/>
      <c r="CZ37" s="115">
        <f>IF(CX$3=1,CW37,0)</f>
        <v>0</v>
      </c>
    </row>
    <row r="38" spans="3:116">
      <c r="AA38" s="112">
        <f t="shared" si="65"/>
        <v>0</v>
      </c>
      <c r="AB38" s="29">
        <f t="shared" si="63"/>
        <v>0</v>
      </c>
      <c r="AC38" s="13">
        <f t="shared" si="64"/>
        <v>0</v>
      </c>
      <c r="AD38" s="113"/>
      <c r="AM38" s="112">
        <f t="shared" si="61"/>
        <v>0</v>
      </c>
      <c r="AN38" s="29">
        <f t="shared" si="57"/>
        <v>0</v>
      </c>
      <c r="AO38" s="13">
        <f t="shared" si="58"/>
        <v>0</v>
      </c>
      <c r="AP38" s="113"/>
      <c r="BW38" s="112">
        <f t="shared" si="62"/>
        <v>0</v>
      </c>
      <c r="BX38" s="29">
        <f t="shared" si="59"/>
        <v>0</v>
      </c>
      <c r="BY38" s="13">
        <f t="shared" si="60"/>
        <v>0</v>
      </c>
      <c r="BZ38" s="113"/>
    </row>
    <row r="39" spans="3:116">
      <c r="AA39" s="112">
        <f t="shared" si="65"/>
        <v>0</v>
      </c>
      <c r="AB39" s="29">
        <f t="shared" si="63"/>
        <v>0</v>
      </c>
      <c r="AC39" s="13">
        <f t="shared" si="64"/>
        <v>0</v>
      </c>
      <c r="AD39" s="113"/>
      <c r="AM39" s="112">
        <f t="shared" si="61"/>
        <v>0</v>
      </c>
      <c r="AN39" s="29">
        <f t="shared" si="57"/>
        <v>0</v>
      </c>
      <c r="AO39" s="13">
        <f t="shared" si="58"/>
        <v>0</v>
      </c>
      <c r="AP39" s="113"/>
      <c r="BW39" s="112">
        <f t="shared" si="62"/>
        <v>0</v>
      </c>
      <c r="BX39" s="29">
        <f t="shared" si="59"/>
        <v>0</v>
      </c>
      <c r="BY39" s="13">
        <f t="shared" si="60"/>
        <v>0</v>
      </c>
      <c r="BZ39" s="113"/>
    </row>
    <row r="40" spans="3:116" ht="13.8" thickBot="1">
      <c r="AA40" s="112">
        <f t="shared" si="65"/>
        <v>0</v>
      </c>
      <c r="AB40" s="29">
        <f t="shared" si="63"/>
        <v>0</v>
      </c>
      <c r="AC40" s="13">
        <f t="shared" si="64"/>
        <v>0</v>
      </c>
      <c r="AD40" s="113"/>
      <c r="AM40" s="112">
        <f t="shared" si="61"/>
        <v>0</v>
      </c>
      <c r="AN40" s="124" t="s">
        <v>0</v>
      </c>
      <c r="AO40" s="125">
        <f>SUM(AO31:AO39)</f>
        <v>2255.21</v>
      </c>
      <c r="AP40" s="126"/>
      <c r="AQ40" s="127"/>
      <c r="AR40" s="128">
        <f>IF(AP$3=1,AO40,0)</f>
        <v>0</v>
      </c>
      <c r="AY40" s="131"/>
      <c r="AZ40" s="132"/>
      <c r="BA40" s="132"/>
      <c r="BB40" s="132"/>
      <c r="BC40" s="132"/>
      <c r="BD40" s="128"/>
      <c r="BW40" s="112">
        <f t="shared" si="62"/>
        <v>0</v>
      </c>
      <c r="BX40" s="124" t="s">
        <v>0</v>
      </c>
      <c r="BY40" s="125">
        <f>SUM(BY31:BY39)</f>
        <v>2318.7800000000002</v>
      </c>
      <c r="BZ40" s="126"/>
      <c r="CA40" s="127"/>
      <c r="CB40" s="128">
        <f>IF(BZ$3=1,BY40,0)</f>
        <v>0</v>
      </c>
      <c r="CC40" s="131"/>
      <c r="CD40" s="132"/>
      <c r="CE40" s="132"/>
      <c r="CF40" s="132"/>
      <c r="CG40" s="132"/>
      <c r="CH40" s="128"/>
      <c r="CO40" s="131"/>
      <c r="CP40" s="132"/>
      <c r="CQ40" s="132"/>
      <c r="CR40" s="132"/>
      <c r="CS40" s="132"/>
      <c r="CT40" s="128"/>
    </row>
    <row r="41" spans="3:116">
      <c r="AA41" s="112">
        <f t="shared" si="65"/>
        <v>0</v>
      </c>
      <c r="AB41" s="29">
        <f t="shared" si="63"/>
        <v>0</v>
      </c>
      <c r="AC41" s="13">
        <f t="shared" si="64"/>
        <v>0</v>
      </c>
      <c r="AD41" s="113"/>
      <c r="AM41" s="129"/>
      <c r="AN41" s="127"/>
      <c r="AO41" s="127"/>
      <c r="AP41" s="127"/>
      <c r="AQ41" s="127"/>
      <c r="AR41" s="130"/>
      <c r="AY41" s="131"/>
      <c r="AZ41" s="132"/>
      <c r="BA41" s="132"/>
      <c r="BB41" s="132"/>
      <c r="BC41" s="132"/>
      <c r="BD41" s="128"/>
      <c r="BW41" s="129"/>
      <c r="BX41" s="127"/>
      <c r="BY41" s="127"/>
      <c r="BZ41" s="127"/>
      <c r="CA41" s="127"/>
      <c r="CB41" s="130"/>
      <c r="CC41" s="131"/>
      <c r="CD41" s="132"/>
      <c r="CE41" s="132"/>
      <c r="CF41" s="132"/>
      <c r="CG41" s="132"/>
      <c r="CH41" s="128"/>
      <c r="CO41" s="131"/>
      <c r="CP41" s="132"/>
      <c r="CQ41" s="132"/>
      <c r="CR41" s="132"/>
      <c r="CS41" s="132"/>
      <c r="CT41" s="128"/>
    </row>
    <row r="42" spans="3:116">
      <c r="AA42" s="112">
        <f t="shared" si="65"/>
        <v>0</v>
      </c>
      <c r="AB42" s="29">
        <f t="shared" si="63"/>
        <v>0</v>
      </c>
      <c r="AC42" s="13">
        <f t="shared" si="64"/>
        <v>0</v>
      </c>
      <c r="AD42" s="113"/>
    </row>
    <row r="43" spans="3:116" s="123" customFormat="1" ht="13.8" thickBot="1">
      <c r="C43" s="131"/>
      <c r="D43" s="132"/>
      <c r="E43" s="132"/>
      <c r="F43" s="132"/>
      <c r="G43" s="132"/>
      <c r="H43" s="128"/>
      <c r="I43" s="131"/>
      <c r="J43" s="132"/>
      <c r="K43" s="132"/>
      <c r="L43" s="132"/>
      <c r="M43" s="132"/>
      <c r="N43" s="128"/>
      <c r="O43" s="131"/>
      <c r="P43" s="132"/>
      <c r="Q43" s="132"/>
      <c r="R43" s="132"/>
      <c r="S43" s="132"/>
      <c r="T43" s="128"/>
      <c r="U43" s="131"/>
      <c r="V43" s="132"/>
      <c r="W43" s="132"/>
      <c r="X43" s="132"/>
      <c r="Y43" s="132"/>
      <c r="Z43" s="128"/>
      <c r="AA43" s="112">
        <f t="shared" si="65"/>
        <v>0</v>
      </c>
      <c r="AB43" s="124" t="s">
        <v>0</v>
      </c>
      <c r="AC43" s="125">
        <f>SUM(AC33:AC42)</f>
        <v>2256.5300000000002</v>
      </c>
      <c r="AD43" s="126"/>
      <c r="AE43" s="127"/>
      <c r="AF43" s="128">
        <f>IF(AD$3=1,AC43,0)</f>
        <v>0</v>
      </c>
      <c r="AG43" s="131"/>
      <c r="AH43" s="132"/>
      <c r="AI43" s="132"/>
      <c r="AJ43" s="132"/>
      <c r="AK43" s="132"/>
      <c r="AL43" s="128"/>
      <c r="AM43" s="109"/>
      <c r="AN43" s="53"/>
      <c r="AO43" s="53"/>
      <c r="AP43" s="53"/>
      <c r="AQ43" s="53"/>
      <c r="AR43" s="111"/>
      <c r="AS43" s="109"/>
      <c r="AT43" s="53"/>
      <c r="AU43" s="53"/>
      <c r="AV43" s="53"/>
      <c r="AW43" s="53"/>
      <c r="AX43" s="111"/>
      <c r="AY43" s="109"/>
      <c r="AZ43" s="53"/>
      <c r="BA43" s="53"/>
      <c r="BB43" s="53"/>
      <c r="BC43" s="53"/>
      <c r="BD43" s="111"/>
      <c r="BE43" s="131"/>
      <c r="BF43" s="132"/>
      <c r="BG43" s="132"/>
      <c r="BH43" s="132"/>
      <c r="BI43" s="132"/>
      <c r="BJ43" s="128"/>
      <c r="BK43" s="131"/>
      <c r="BL43" s="132"/>
      <c r="BM43" s="132"/>
      <c r="BN43" s="132"/>
      <c r="BO43" s="132"/>
      <c r="BP43" s="128"/>
      <c r="BQ43" s="109"/>
      <c r="BR43" s="53"/>
      <c r="BS43" s="53"/>
      <c r="BT43" s="53"/>
      <c r="BU43" s="53"/>
      <c r="BV43" s="111"/>
      <c r="BW43" s="109"/>
      <c r="BX43" s="53"/>
      <c r="BY43" s="53"/>
      <c r="BZ43" s="53"/>
      <c r="CA43" s="53"/>
      <c r="CB43" s="111"/>
      <c r="CC43" s="109"/>
      <c r="CD43" s="53"/>
      <c r="CE43" s="53"/>
      <c r="CF43" s="53"/>
      <c r="CG43" s="53"/>
      <c r="CH43" s="111"/>
      <c r="CI43" s="131"/>
      <c r="CJ43" s="132"/>
      <c r="CK43" s="132"/>
      <c r="CL43" s="132"/>
      <c r="CM43" s="132"/>
      <c r="CN43" s="128"/>
      <c r="CO43" s="109"/>
      <c r="CP43" s="53"/>
      <c r="CQ43" s="53"/>
      <c r="CR43" s="53"/>
      <c r="CS43" s="53"/>
      <c r="CT43" s="111"/>
      <c r="CU43" s="131"/>
      <c r="CV43" s="132"/>
      <c r="CW43" s="132"/>
      <c r="CX43" s="132"/>
      <c r="CY43" s="132"/>
      <c r="CZ43" s="128"/>
      <c r="DA43" s="131"/>
      <c r="DB43" s="132"/>
      <c r="DC43" s="132"/>
      <c r="DD43" s="132"/>
      <c r="DE43" s="132"/>
      <c r="DF43" s="128"/>
      <c r="DG43" s="131"/>
      <c r="DH43" s="132"/>
      <c r="DI43" s="132"/>
      <c r="DJ43" s="132"/>
      <c r="DK43" s="132"/>
      <c r="DL43" s="128"/>
    </row>
    <row r="44" spans="3:116" s="123" customFormat="1">
      <c r="C44" s="131"/>
      <c r="D44" s="132"/>
      <c r="E44" s="132"/>
      <c r="F44" s="132"/>
      <c r="G44" s="132"/>
      <c r="H44" s="128"/>
      <c r="I44" s="131"/>
      <c r="J44" s="132"/>
      <c r="K44" s="132"/>
      <c r="L44" s="132"/>
      <c r="M44" s="132"/>
      <c r="N44" s="128"/>
      <c r="O44" s="131"/>
      <c r="P44" s="132"/>
      <c r="Q44" s="132"/>
      <c r="R44" s="132"/>
      <c r="S44" s="132"/>
      <c r="T44" s="128"/>
      <c r="U44" s="131"/>
      <c r="V44" s="132"/>
      <c r="W44" s="132"/>
      <c r="X44" s="132"/>
      <c r="Y44" s="132"/>
      <c r="Z44" s="128"/>
      <c r="AA44" s="129"/>
      <c r="AB44" s="127"/>
      <c r="AC44" s="127"/>
      <c r="AD44" s="127"/>
      <c r="AE44" s="127"/>
      <c r="AF44" s="130"/>
      <c r="AG44" s="131"/>
      <c r="AH44" s="132"/>
      <c r="AI44" s="132"/>
      <c r="AJ44" s="132"/>
      <c r="AK44" s="132"/>
      <c r="AL44" s="128"/>
      <c r="AM44" s="109"/>
      <c r="AN44" s="53"/>
      <c r="AO44" s="53"/>
      <c r="AP44" s="53"/>
      <c r="AQ44" s="53"/>
      <c r="AR44" s="111"/>
      <c r="AS44" s="109"/>
      <c r="AT44" s="53"/>
      <c r="AU44" s="53"/>
      <c r="AV44" s="53"/>
      <c r="AW44" s="53"/>
      <c r="AX44" s="111"/>
      <c r="AY44" s="109"/>
      <c r="AZ44" s="53"/>
      <c r="BA44" s="53"/>
      <c r="BB44" s="53"/>
      <c r="BC44" s="53"/>
      <c r="BD44" s="111"/>
      <c r="BE44" s="131"/>
      <c r="BF44" s="132"/>
      <c r="BG44" s="132"/>
      <c r="BH44" s="132"/>
      <c r="BI44" s="132"/>
      <c r="BJ44" s="128"/>
      <c r="BK44" s="131"/>
      <c r="BL44" s="132"/>
      <c r="BM44" s="132"/>
      <c r="BN44" s="132"/>
      <c r="BO44" s="132"/>
      <c r="BP44" s="128"/>
      <c r="BQ44" s="109"/>
      <c r="BR44" s="53"/>
      <c r="BS44" s="53"/>
      <c r="BT44" s="53"/>
      <c r="BU44" s="53"/>
      <c r="BV44" s="111"/>
      <c r="BW44" s="109"/>
      <c r="BX44" s="53"/>
      <c r="BY44" s="53"/>
      <c r="BZ44" s="53"/>
      <c r="CA44" s="53"/>
      <c r="CB44" s="111"/>
      <c r="CC44" s="109"/>
      <c r="CD44" s="53"/>
      <c r="CE44" s="53"/>
      <c r="CF44" s="53"/>
      <c r="CG44" s="53"/>
      <c r="CH44" s="111"/>
      <c r="CI44" s="131"/>
      <c r="CJ44" s="132"/>
      <c r="CK44" s="132"/>
      <c r="CL44" s="132"/>
      <c r="CM44" s="132"/>
      <c r="CN44" s="128"/>
      <c r="CO44" s="109"/>
      <c r="CP44" s="53"/>
      <c r="CQ44" s="53"/>
      <c r="CR44" s="53"/>
      <c r="CS44" s="53"/>
      <c r="CT44" s="111"/>
      <c r="CU44" s="131"/>
      <c r="CV44" s="132"/>
      <c r="CW44" s="132"/>
      <c r="CX44" s="132"/>
      <c r="CY44" s="132"/>
      <c r="CZ44" s="128"/>
      <c r="DA44" s="131"/>
      <c r="DB44" s="132"/>
      <c r="DC44" s="132"/>
      <c r="DD44" s="132"/>
      <c r="DE44" s="132"/>
      <c r="DF44" s="128"/>
      <c r="DG44" s="131"/>
      <c r="DH44" s="132"/>
      <c r="DI44" s="132"/>
      <c r="DJ44" s="132"/>
      <c r="DK44" s="132"/>
      <c r="DL44" s="128"/>
    </row>
    <row r="46" spans="3:116">
      <c r="AS46" s="131"/>
      <c r="AT46" s="132"/>
      <c r="AU46" s="132"/>
      <c r="AV46" s="132"/>
      <c r="AW46" s="132"/>
      <c r="AX46" s="128"/>
      <c r="BQ46" s="131"/>
      <c r="BR46" s="132"/>
      <c r="BS46" s="132"/>
      <c r="BT46" s="132"/>
      <c r="BU46" s="132"/>
      <c r="BV46" s="128"/>
    </row>
    <row r="49" spans="1:116">
      <c r="A49" s="105">
        <f>SUM(B49:IV49)</f>
        <v>769.5</v>
      </c>
      <c r="B49" s="104"/>
      <c r="C49" s="116"/>
      <c r="D49" s="117"/>
      <c r="E49" s="117"/>
      <c r="F49" s="117"/>
      <c r="G49" s="117">
        <f>SUM(G1:G42)</f>
        <v>769.5</v>
      </c>
      <c r="H49" s="118"/>
      <c r="I49" s="116"/>
      <c r="J49" s="117"/>
      <c r="K49" s="117"/>
      <c r="L49" s="117"/>
      <c r="M49" s="117">
        <f>SUM(M1:M42)</f>
        <v>0</v>
      </c>
      <c r="N49" s="118"/>
      <c r="O49" s="116"/>
      <c r="P49" s="117"/>
      <c r="Q49" s="117"/>
      <c r="R49" s="117"/>
      <c r="S49" s="117">
        <f>SUM(S1:S42)</f>
        <v>0</v>
      </c>
      <c r="T49" s="118"/>
      <c r="U49" s="116"/>
      <c r="V49" s="117"/>
      <c r="W49" s="117"/>
      <c r="X49" s="117"/>
      <c r="Y49" s="117">
        <f>SUM(Y1:Y42)</f>
        <v>0</v>
      </c>
      <c r="Z49" s="118"/>
      <c r="AA49" s="116"/>
      <c r="AB49" s="117"/>
      <c r="AC49" s="117"/>
      <c r="AD49" s="117"/>
      <c r="AE49" s="117">
        <f>SUM(AE1:AE48)</f>
        <v>0</v>
      </c>
      <c r="AF49" s="118"/>
      <c r="AG49" s="116"/>
      <c r="AH49" s="117"/>
      <c r="AI49" s="117"/>
      <c r="AJ49" s="117"/>
      <c r="AK49" s="117">
        <f>SUM(AK1:AK42)</f>
        <v>0</v>
      </c>
      <c r="AL49" s="118"/>
      <c r="AM49" s="116"/>
      <c r="AN49" s="117"/>
      <c r="AO49" s="117"/>
      <c r="AP49" s="117"/>
      <c r="AQ49" s="117">
        <f>SUM(AQ1:AQ48)</f>
        <v>0</v>
      </c>
      <c r="AR49" s="118"/>
      <c r="AS49" s="116"/>
      <c r="AT49" s="117"/>
      <c r="AU49" s="117"/>
      <c r="AV49" s="117"/>
      <c r="AW49" s="117">
        <f>SUM(AW1:AW45)</f>
        <v>0</v>
      </c>
      <c r="AX49" s="118"/>
      <c r="AY49" s="116"/>
      <c r="AZ49" s="117"/>
      <c r="BA49" s="117"/>
      <c r="BB49" s="117"/>
      <c r="BC49" s="117">
        <f>SUM(BC1:BC39)</f>
        <v>0</v>
      </c>
      <c r="BD49" s="118"/>
      <c r="BE49" s="116"/>
      <c r="BF49" s="117"/>
      <c r="BG49" s="117"/>
      <c r="BH49" s="117"/>
      <c r="BI49" s="117">
        <f>SUM(BI1:BI42)</f>
        <v>0</v>
      </c>
      <c r="BJ49" s="118"/>
      <c r="BK49" s="116"/>
      <c r="BL49" s="117"/>
      <c r="BM49" s="117"/>
      <c r="BN49" s="117"/>
      <c r="BO49" s="117">
        <f>SUM(BO1:BO42)</f>
        <v>0</v>
      </c>
      <c r="BP49" s="118"/>
      <c r="BQ49" s="116"/>
      <c r="BR49" s="117"/>
      <c r="BS49" s="117"/>
      <c r="BT49" s="117"/>
      <c r="BU49" s="117">
        <f>SUM(BU1:BU45)</f>
        <v>0</v>
      </c>
      <c r="BV49" s="118"/>
      <c r="BW49" s="116"/>
      <c r="BX49" s="117"/>
      <c r="BY49" s="117"/>
      <c r="BZ49" s="117"/>
      <c r="CA49" s="117">
        <f>SUM(CA1:CA48)</f>
        <v>0</v>
      </c>
      <c r="CB49" s="118"/>
      <c r="CC49" s="116"/>
      <c r="CD49" s="117"/>
      <c r="CE49" s="117"/>
      <c r="CF49" s="117"/>
      <c r="CG49" s="117">
        <f>SUM(CG1:CG39)</f>
        <v>0</v>
      </c>
      <c r="CH49" s="118"/>
      <c r="CI49" s="116"/>
      <c r="CJ49" s="117"/>
      <c r="CK49" s="117"/>
      <c r="CL49" s="117"/>
      <c r="CM49" s="117">
        <f>SUM(CM1:CM42)</f>
        <v>0</v>
      </c>
      <c r="CN49" s="118"/>
      <c r="CO49" s="116"/>
      <c r="CP49" s="117"/>
      <c r="CQ49" s="117"/>
      <c r="CR49" s="117"/>
      <c r="CS49" s="117">
        <f>SUM(CS1:CS39)</f>
        <v>0</v>
      </c>
      <c r="CT49" s="118"/>
      <c r="CU49" s="116"/>
      <c r="CV49" s="117"/>
      <c r="CW49" s="117"/>
      <c r="CX49" s="117"/>
      <c r="CY49" s="117">
        <f>SUM(CY1:CY42)</f>
        <v>0</v>
      </c>
      <c r="CZ49" s="118"/>
      <c r="DA49" s="116"/>
      <c r="DB49" s="117"/>
      <c r="DC49" s="117"/>
      <c r="DD49" s="117"/>
      <c r="DE49" s="117">
        <f>SUM(DE1:DE42)</f>
        <v>0</v>
      </c>
      <c r="DF49" s="118"/>
      <c r="DG49" s="116"/>
      <c r="DH49" s="117"/>
      <c r="DI49" s="117"/>
      <c r="DJ49" s="117"/>
      <c r="DK49" s="117">
        <f>SUM(DK1:DK42)</f>
        <v>0</v>
      </c>
      <c r="DL49" s="118"/>
    </row>
    <row r="50" spans="1:116">
      <c r="A50" s="105">
        <f>SUM(B50:IV50)</f>
        <v>2154.15</v>
      </c>
      <c r="B50" s="104"/>
      <c r="C50" s="116"/>
      <c r="D50" s="117"/>
      <c r="E50" s="117"/>
      <c r="F50" s="117"/>
      <c r="G50" s="117"/>
      <c r="H50" s="118">
        <f>SUM(H1:H42)</f>
        <v>2154.15</v>
      </c>
      <c r="I50" s="116"/>
      <c r="J50" s="117"/>
      <c r="K50" s="117"/>
      <c r="L50" s="117"/>
      <c r="M50" s="117"/>
      <c r="N50" s="118">
        <f>SUM(N1:N42)</f>
        <v>0</v>
      </c>
      <c r="O50" s="116"/>
      <c r="P50" s="117"/>
      <c r="Q50" s="117"/>
      <c r="R50" s="117"/>
      <c r="S50" s="117"/>
      <c r="T50" s="118">
        <f>SUM(T1:T42)</f>
        <v>0</v>
      </c>
      <c r="U50" s="116"/>
      <c r="V50" s="117"/>
      <c r="W50" s="117"/>
      <c r="X50" s="117"/>
      <c r="Y50" s="117"/>
      <c r="Z50" s="118">
        <f>SUM(Z1:Z42)</f>
        <v>0</v>
      </c>
      <c r="AA50" s="116"/>
      <c r="AB50" s="117"/>
      <c r="AC50" s="117"/>
      <c r="AD50" s="117"/>
      <c r="AE50" s="117"/>
      <c r="AF50" s="118">
        <f>SUM(AF1:AF48)</f>
        <v>0</v>
      </c>
      <c r="AG50" s="116"/>
      <c r="AH50" s="117"/>
      <c r="AI50" s="117"/>
      <c r="AJ50" s="117"/>
      <c r="AK50" s="117"/>
      <c r="AL50" s="118">
        <f>SUM(AL1:AL42)</f>
        <v>0</v>
      </c>
      <c r="AM50" s="116"/>
      <c r="AN50" s="117"/>
      <c r="AO50" s="117"/>
      <c r="AP50" s="117"/>
      <c r="AQ50" s="117"/>
      <c r="AR50" s="118">
        <f>SUM(AR1:AR48)</f>
        <v>0</v>
      </c>
      <c r="AS50" s="116"/>
      <c r="AT50" s="117"/>
      <c r="AU50" s="117"/>
      <c r="AV50" s="117"/>
      <c r="AW50" s="117"/>
      <c r="AX50" s="118">
        <f>SUM(AX1:AX45)</f>
        <v>0</v>
      </c>
      <c r="AY50" s="116"/>
      <c r="AZ50" s="117"/>
      <c r="BA50" s="117"/>
      <c r="BB50" s="117"/>
      <c r="BC50" s="117"/>
      <c r="BD50" s="118">
        <f>SUM(BD1:BD39)</f>
        <v>0</v>
      </c>
      <c r="BE50" s="116"/>
      <c r="BF50" s="117"/>
      <c r="BG50" s="117"/>
      <c r="BH50" s="117"/>
      <c r="BI50" s="117"/>
      <c r="BJ50" s="118">
        <f>SUM(BJ1:BJ42)</f>
        <v>0</v>
      </c>
      <c r="BK50" s="116"/>
      <c r="BL50" s="117"/>
      <c r="BM50" s="117"/>
      <c r="BN50" s="117"/>
      <c r="BO50" s="117"/>
      <c r="BP50" s="118">
        <f>SUM(BP1:BP42)</f>
        <v>0</v>
      </c>
      <c r="BQ50" s="116"/>
      <c r="BR50" s="117"/>
      <c r="BS50" s="117"/>
      <c r="BT50" s="117"/>
      <c r="BU50" s="117"/>
      <c r="BV50" s="118">
        <f>SUM(BV1:BV45)</f>
        <v>0</v>
      </c>
      <c r="BW50" s="116"/>
      <c r="BX50" s="117"/>
      <c r="BY50" s="117"/>
      <c r="BZ50" s="117"/>
      <c r="CA50" s="117"/>
      <c r="CB50" s="118">
        <f>SUM(CB1:CB48)</f>
        <v>0</v>
      </c>
      <c r="CC50" s="116"/>
      <c r="CD50" s="117"/>
      <c r="CE50" s="117"/>
      <c r="CF50" s="117"/>
      <c r="CG50" s="117"/>
      <c r="CH50" s="118">
        <f>SUM(CH1:CH39)</f>
        <v>0</v>
      </c>
      <c r="CI50" s="116"/>
      <c r="CJ50" s="117"/>
      <c r="CK50" s="117"/>
      <c r="CL50" s="117"/>
      <c r="CM50" s="117"/>
      <c r="CN50" s="118">
        <f>SUM(CN1:CN42)</f>
        <v>0</v>
      </c>
      <c r="CO50" s="116"/>
      <c r="CP50" s="117"/>
      <c r="CQ50" s="117"/>
      <c r="CR50" s="117"/>
      <c r="CS50" s="117"/>
      <c r="CT50" s="118">
        <f>SUM(CT1:CT39)</f>
        <v>0</v>
      </c>
      <c r="CU50" s="116"/>
      <c r="CV50" s="117"/>
      <c r="CW50" s="117"/>
      <c r="CX50" s="117"/>
      <c r="CY50" s="117"/>
      <c r="CZ50" s="118">
        <f>SUM(CZ1:CZ42)</f>
        <v>0</v>
      </c>
      <c r="DA50" s="116"/>
      <c r="DB50" s="117"/>
      <c r="DC50" s="117"/>
      <c r="DD50" s="117"/>
      <c r="DE50" s="117"/>
      <c r="DF50" s="118">
        <f>SUM(DF1:DF42)</f>
        <v>0</v>
      </c>
      <c r="DG50" s="116"/>
      <c r="DH50" s="117"/>
      <c r="DI50" s="117"/>
      <c r="DJ50" s="117"/>
      <c r="DK50" s="117"/>
      <c r="DL50" s="118">
        <f>SUM(DL1:DL42)</f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57">
    <mergeCell ref="DH4:DJ4"/>
    <mergeCell ref="DH13:DI13"/>
    <mergeCell ref="DH22:DI22"/>
    <mergeCell ref="CV4:CX4"/>
    <mergeCell ref="CV16:CW16"/>
    <mergeCell ref="CV28:CW28"/>
    <mergeCell ref="DB4:DD4"/>
    <mergeCell ref="DB13:DC13"/>
    <mergeCell ref="DB22:DC22"/>
    <mergeCell ref="CJ4:CL4"/>
    <mergeCell ref="CJ13:CK13"/>
    <mergeCell ref="CJ22:CK22"/>
    <mergeCell ref="CP4:CR4"/>
    <mergeCell ref="CP15:CQ15"/>
    <mergeCell ref="CP26:CQ26"/>
    <mergeCell ref="BX4:BZ4"/>
    <mergeCell ref="BX17:BY17"/>
    <mergeCell ref="BX30:BY30"/>
    <mergeCell ref="CD4:CF4"/>
    <mergeCell ref="CD15:CE15"/>
    <mergeCell ref="CD26:CE26"/>
    <mergeCell ref="BR24:BS24"/>
    <mergeCell ref="AZ4:BB4"/>
    <mergeCell ref="AZ15:BA15"/>
    <mergeCell ref="AZ26:BA26"/>
    <mergeCell ref="BF4:BH4"/>
    <mergeCell ref="BF13:BG13"/>
    <mergeCell ref="BF22:BG22"/>
    <mergeCell ref="BL4:BN4"/>
    <mergeCell ref="BL13:BM13"/>
    <mergeCell ref="BL22:BM22"/>
    <mergeCell ref="BR4:BT4"/>
    <mergeCell ref="BR14:BS14"/>
    <mergeCell ref="AN4:AP4"/>
    <mergeCell ref="AN17:AO17"/>
    <mergeCell ref="AN30:AO30"/>
    <mergeCell ref="AT4:AV4"/>
    <mergeCell ref="AT14:AU14"/>
    <mergeCell ref="AT24:AU24"/>
    <mergeCell ref="AB4:AD4"/>
    <mergeCell ref="AB18:AC18"/>
    <mergeCell ref="AB32:AC32"/>
    <mergeCell ref="AH4:AJ4"/>
    <mergeCell ref="AH16:AI16"/>
    <mergeCell ref="AH28:AI28"/>
    <mergeCell ref="V4:X4"/>
    <mergeCell ref="V13:W13"/>
    <mergeCell ref="V22:W22"/>
    <mergeCell ref="J4:L4"/>
    <mergeCell ref="J13:K13"/>
    <mergeCell ref="J22:K22"/>
    <mergeCell ref="P28:Q28"/>
    <mergeCell ref="D4:F4"/>
    <mergeCell ref="D13:E13"/>
    <mergeCell ref="D22:E22"/>
    <mergeCell ref="P4:R4"/>
    <mergeCell ref="P16:Q1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2018 (12 Pagas)</vt:lpstr>
      <vt:lpstr>2018 (14 Pagas)</vt:lpstr>
      <vt:lpstr>Ayuda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2012-02-15T15:37:44Z</dcterms:created>
  <dcterms:modified xsi:type="dcterms:W3CDTF">2018-04-11T12:50:03Z</dcterms:modified>
  <cp:contentStatus/>
</cp:coreProperties>
</file>